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35" windowWidth="17040" windowHeight="10485" firstSheet="3" activeTab="8"/>
  </bookViews>
  <sheets>
    <sheet name="Założenia" sheetId="10" r:id="rId1"/>
    <sheet name="Ankiety - budynki jednorodzinne" sheetId="1" r:id="rId2"/>
    <sheet name="Emisje - sektor mieszkalny" sheetId="2" r:id="rId3"/>
    <sheet name="Emisje - ob. uż. publ." sheetId="5" r:id="rId4"/>
    <sheet name="Emisje - transport" sheetId="4" r:id="rId5"/>
    <sheet name="Emisje - usługi i prod." sheetId="6" r:id="rId6"/>
    <sheet name="MZK" sheetId="7" r:id="rId7"/>
    <sheet name="Oświetlenie" sheetId="9" r:id="rId8"/>
    <sheet name="Emisje " sheetId="8" r:id="rId9"/>
  </sheets>
  <calcPr calcId="125725"/>
</workbook>
</file>

<file path=xl/calcChain.xml><?xml version="1.0" encoding="utf-8"?>
<calcChain xmlns="http://schemas.openxmlformats.org/spreadsheetml/2006/main">
  <c r="B10" i="7"/>
  <c r="G10" s="1"/>
  <c r="I10"/>
  <c r="D10"/>
  <c r="B25"/>
  <c r="E25" s="1"/>
  <c r="I11" l="1"/>
  <c r="G11"/>
  <c r="I14" l="1"/>
  <c r="I15" s="1"/>
  <c r="I12"/>
  <c r="G14"/>
  <c r="G15" s="1"/>
  <c r="G12"/>
  <c r="E27"/>
  <c r="H5"/>
  <c r="I5" s="1"/>
  <c r="H4"/>
  <c r="I4" s="1"/>
  <c r="I3"/>
  <c r="B29"/>
  <c r="B26"/>
  <c r="B30" l="1"/>
  <c r="E30" s="1"/>
  <c r="E29"/>
  <c r="B27"/>
  <c r="E26"/>
  <c r="G13"/>
  <c r="I13"/>
  <c r="E28"/>
  <c r="H6"/>
  <c r="I6"/>
  <c r="J129" i="2"/>
  <c r="N166" i="5"/>
  <c r="N165"/>
  <c r="N164"/>
  <c r="N163"/>
  <c r="G111" i="2"/>
  <c r="G116"/>
  <c r="G115"/>
  <c r="G114"/>
  <c r="G113"/>
  <c r="G112"/>
  <c r="G110"/>
  <c r="G109"/>
  <c r="H124"/>
  <c r="H129"/>
  <c r="H128"/>
  <c r="H127"/>
  <c r="H126"/>
  <c r="H125"/>
  <c r="H123"/>
  <c r="H122"/>
  <c r="H103"/>
  <c r="H102"/>
  <c r="H101"/>
  <c r="H100"/>
  <c r="H99"/>
  <c r="H98"/>
  <c r="H97"/>
  <c r="H96"/>
  <c r="H104" s="1"/>
  <c r="G90"/>
  <c r="G89"/>
  <c r="G88"/>
  <c r="G87"/>
  <c r="G86"/>
  <c r="G85"/>
  <c r="G84"/>
  <c r="G83"/>
  <c r="J97"/>
  <c r="J99"/>
  <c r="J101"/>
  <c r="J100"/>
  <c r="J98"/>
  <c r="J96"/>
  <c r="J124"/>
  <c r="J125"/>
  <c r="J126"/>
  <c r="J127"/>
  <c r="J128"/>
  <c r="J123"/>
  <c r="I111"/>
  <c r="I112"/>
  <c r="I113"/>
  <c r="I114"/>
  <c r="I115"/>
  <c r="I116"/>
  <c r="I110"/>
  <c r="T41" i="8"/>
  <c r="V18"/>
  <c r="S41" s="1"/>
  <c r="B21" i="7"/>
  <c r="C21" s="1"/>
  <c r="C20"/>
  <c r="C19"/>
  <c r="C22" l="1"/>
  <c r="H130" i="2"/>
  <c r="D21" i="7"/>
  <c r="D22" l="1"/>
  <c r="S18" i="8"/>
  <c r="S32" s="1"/>
  <c r="N44"/>
  <c r="N41"/>
  <c r="N32"/>
  <c r="U41"/>
  <c r="U32"/>
  <c r="M18"/>
  <c r="M32" s="1"/>
  <c r="H105"/>
  <c r="H98"/>
  <c r="B99"/>
  <c r="B98"/>
  <c r="B96"/>
  <c r="B95"/>
  <c r="B94"/>
  <c r="H86"/>
  <c r="H83"/>
  <c r="C85"/>
  <c r="C82"/>
  <c r="O32" l="1"/>
  <c r="H68"/>
  <c r="H61"/>
  <c r="B62"/>
  <c r="B61"/>
  <c r="B59"/>
  <c r="B58"/>
  <c r="B57"/>
  <c r="H51"/>
  <c r="H48"/>
  <c r="C50"/>
  <c r="C47"/>
  <c r="H35"/>
  <c r="C37"/>
  <c r="B28"/>
  <c r="B27"/>
  <c r="H21"/>
  <c r="H18"/>
  <c r="B25"/>
  <c r="C20"/>
  <c r="C17"/>
  <c r="G108"/>
  <c r="G71"/>
  <c r="G38"/>
  <c r="G81"/>
  <c r="G82"/>
  <c r="G83"/>
  <c r="I83" s="1"/>
  <c r="G84"/>
  <c r="G85"/>
  <c r="G86"/>
  <c r="I86" s="1"/>
  <c r="G87"/>
  <c r="G53"/>
  <c r="G52"/>
  <c r="G51"/>
  <c r="I51" s="1"/>
  <c r="G50"/>
  <c r="G49"/>
  <c r="G48"/>
  <c r="I48" s="1"/>
  <c r="G47"/>
  <c r="G46"/>
  <c r="G88"/>
  <c r="G23"/>
  <c r="G22"/>
  <c r="G21"/>
  <c r="G20"/>
  <c r="G19"/>
  <c r="G18"/>
  <c r="G17"/>
  <c r="G16"/>
  <c r="H4"/>
  <c r="B17" s="1"/>
  <c r="B4"/>
  <c r="G58" s="1"/>
  <c r="D24" i="9"/>
  <c r="N31" i="8" s="1"/>
  <c r="C20" i="9"/>
  <c r="M17" i="8" s="1"/>
  <c r="M31" s="1"/>
  <c r="D16" i="9"/>
  <c r="H95" i="8" s="1"/>
  <c r="D12" i="9"/>
  <c r="H58" i="8" s="1"/>
  <c r="D7" i="9"/>
  <c r="C34" i="8" s="1"/>
  <c r="H55" i="6"/>
  <c r="F73"/>
  <c r="H73" s="1"/>
  <c r="G82"/>
  <c r="G81"/>
  <c r="G80"/>
  <c r="G79"/>
  <c r="H91"/>
  <c r="H90"/>
  <c r="H89"/>
  <c r="H88"/>
  <c r="H46"/>
  <c r="H37"/>
  <c r="E80"/>
  <c r="F89"/>
  <c r="F91"/>
  <c r="F90"/>
  <c r="F88"/>
  <c r="F87"/>
  <c r="F92" s="1"/>
  <c r="E82"/>
  <c r="E81"/>
  <c r="E79"/>
  <c r="E78"/>
  <c r="G78" s="1"/>
  <c r="F72"/>
  <c r="H72" s="1"/>
  <c r="F71"/>
  <c r="H71" s="1"/>
  <c r="F70"/>
  <c r="H70" s="1"/>
  <c r="F69"/>
  <c r="F74" s="1"/>
  <c r="E64"/>
  <c r="G64" s="1"/>
  <c r="E63"/>
  <c r="G63" s="1"/>
  <c r="E62"/>
  <c r="G62" s="1"/>
  <c r="E61"/>
  <c r="G61" s="1"/>
  <c r="E60"/>
  <c r="F55"/>
  <c r="F54"/>
  <c r="H54" s="1"/>
  <c r="F53"/>
  <c r="H53" s="1"/>
  <c r="F52"/>
  <c r="H52" s="1"/>
  <c r="F51"/>
  <c r="F56" s="1"/>
  <c r="C84" i="8" s="1"/>
  <c r="F46" i="6"/>
  <c r="F45"/>
  <c r="H45" s="1"/>
  <c r="F44"/>
  <c r="H44" s="1"/>
  <c r="F43"/>
  <c r="H43" s="1"/>
  <c r="F42"/>
  <c r="F37"/>
  <c r="F36"/>
  <c r="H36" s="1"/>
  <c r="F35"/>
  <c r="H35" s="1"/>
  <c r="F34"/>
  <c r="H34" s="1"/>
  <c r="F33"/>
  <c r="F38" s="1"/>
  <c r="V5" i="4"/>
  <c r="W5" s="1"/>
  <c r="V4"/>
  <c r="W4" s="1"/>
  <c r="V3"/>
  <c r="W3" s="1"/>
  <c r="N5"/>
  <c r="O5" s="1"/>
  <c r="N4"/>
  <c r="O4" s="1"/>
  <c r="N3"/>
  <c r="O3" s="1"/>
  <c r="F47" i="6" l="1"/>
  <c r="C49" i="8" s="1"/>
  <c r="E65" i="6"/>
  <c r="H42"/>
  <c r="H47" s="1"/>
  <c r="H60" i="8" s="1"/>
  <c r="H69" i="6"/>
  <c r="H74" s="1"/>
  <c r="H33"/>
  <c r="H38" s="1"/>
  <c r="C36" i="8" s="1"/>
  <c r="H51" i="6"/>
  <c r="H56" s="1"/>
  <c r="H97" i="8" s="1"/>
  <c r="G60" i="6"/>
  <c r="G65" s="1"/>
  <c r="H87"/>
  <c r="C19" i="8"/>
  <c r="O31"/>
  <c r="I58"/>
  <c r="I18"/>
  <c r="I21"/>
  <c r="D17"/>
  <c r="B47"/>
  <c r="D47" s="1"/>
  <c r="B82"/>
  <c r="D82" s="1"/>
  <c r="G95"/>
  <c r="I95" s="1"/>
  <c r="G54"/>
  <c r="B34"/>
  <c r="D34" s="1"/>
  <c r="G89"/>
  <c r="G24"/>
  <c r="G83" i="6"/>
  <c r="S19" i="8" s="1"/>
  <c r="S33" s="1"/>
  <c r="H92" i="6"/>
  <c r="T33" i="8" s="1"/>
  <c r="U33" s="1"/>
  <c r="E83" i="6"/>
  <c r="E59" i="4"/>
  <c r="E58"/>
  <c r="G58" s="1"/>
  <c r="E57"/>
  <c r="E41"/>
  <c r="E40"/>
  <c r="G40" s="1"/>
  <c r="E39"/>
  <c r="E5"/>
  <c r="T46" i="8"/>
  <c r="T43"/>
  <c r="T40"/>
  <c r="T39"/>
  <c r="N162" i="5"/>
  <c r="N167" s="1"/>
  <c r="T35" i="8" s="1"/>
  <c r="E166" i="5"/>
  <c r="V23" i="8" s="1"/>
  <c r="E165" i="5"/>
  <c r="V20" i="8" s="1"/>
  <c r="S43" s="1"/>
  <c r="E164" i="5"/>
  <c r="V17" i="8" s="1"/>
  <c r="S40" s="1"/>
  <c r="E163" i="5"/>
  <c r="V16" i="8" s="1"/>
  <c r="S39" s="1"/>
  <c r="E162" i="5"/>
  <c r="D165"/>
  <c r="M165"/>
  <c r="M166"/>
  <c r="M164"/>
  <c r="M163"/>
  <c r="M162"/>
  <c r="D166"/>
  <c r="D164"/>
  <c r="D163"/>
  <c r="D162"/>
  <c r="M139"/>
  <c r="N139" s="1"/>
  <c r="N45" i="8" s="1"/>
  <c r="M140" i="5"/>
  <c r="N140" s="1"/>
  <c r="N39" i="8" s="1"/>
  <c r="M141" i="5"/>
  <c r="N141" s="1"/>
  <c r="N40" i="8" s="1"/>
  <c r="M142" i="5"/>
  <c r="N142" s="1"/>
  <c r="N43" i="8" s="1"/>
  <c r="M143" i="5"/>
  <c r="N143" s="1"/>
  <c r="D143"/>
  <c r="E143" s="1"/>
  <c r="D142"/>
  <c r="E142" s="1"/>
  <c r="D141"/>
  <c r="E141" s="1"/>
  <c r="D140"/>
  <c r="E140" s="1"/>
  <c r="D139"/>
  <c r="E139" s="1"/>
  <c r="U122"/>
  <c r="H110" i="8" s="1"/>
  <c r="T122" i="5"/>
  <c r="H88" i="8" s="1"/>
  <c r="B101" s="1"/>
  <c r="T121" i="5"/>
  <c r="T120"/>
  <c r="T119"/>
  <c r="T118"/>
  <c r="N122"/>
  <c r="H73" i="8" s="1"/>
  <c r="M122" i="5"/>
  <c r="H53" i="8" s="1"/>
  <c r="I53" s="1"/>
  <c r="M121" i="5"/>
  <c r="M120"/>
  <c r="M119"/>
  <c r="M118"/>
  <c r="F122"/>
  <c r="H40" i="8" s="1"/>
  <c r="E122" i="5"/>
  <c r="H23" i="8" s="1"/>
  <c r="I23" s="1"/>
  <c r="E121" i="5"/>
  <c r="E120"/>
  <c r="E119"/>
  <c r="E118"/>
  <c r="H77" i="2"/>
  <c r="H76"/>
  <c r="H75"/>
  <c r="H74"/>
  <c r="H73"/>
  <c r="H72"/>
  <c r="H71"/>
  <c r="H70"/>
  <c r="H78" s="1"/>
  <c r="H64"/>
  <c r="H63"/>
  <c r="H62"/>
  <c r="H61"/>
  <c r="H60"/>
  <c r="H59"/>
  <c r="H58"/>
  <c r="H57"/>
  <c r="H65" s="1"/>
  <c r="H51"/>
  <c r="H50"/>
  <c r="H49"/>
  <c r="J49" s="1"/>
  <c r="H48"/>
  <c r="J48" s="1"/>
  <c r="H47"/>
  <c r="J47" s="1"/>
  <c r="H46"/>
  <c r="H45"/>
  <c r="H44"/>
  <c r="J45"/>
  <c r="I89"/>
  <c r="I90"/>
  <c r="J77"/>
  <c r="J76"/>
  <c r="J64"/>
  <c r="J63"/>
  <c r="J51"/>
  <c r="J50"/>
  <c r="J46"/>
  <c r="J44"/>
  <c r="J58"/>
  <c r="J59"/>
  <c r="J60"/>
  <c r="J61"/>
  <c r="J62"/>
  <c r="J65"/>
  <c r="L59" s="1"/>
  <c r="J57"/>
  <c r="J71"/>
  <c r="J72"/>
  <c r="J73"/>
  <c r="J74"/>
  <c r="J75"/>
  <c r="J70"/>
  <c r="K123"/>
  <c r="K124"/>
  <c r="K125"/>
  <c r="K126"/>
  <c r="K127"/>
  <c r="K128"/>
  <c r="K129"/>
  <c r="K122"/>
  <c r="J110"/>
  <c r="J111"/>
  <c r="J112"/>
  <c r="J113"/>
  <c r="J114"/>
  <c r="J115"/>
  <c r="J116"/>
  <c r="J122"/>
  <c r="J109"/>
  <c r="I109"/>
  <c r="I84"/>
  <c r="J84"/>
  <c r="I85"/>
  <c r="J85"/>
  <c r="I86"/>
  <c r="J86"/>
  <c r="I87"/>
  <c r="P21" i="8" s="1"/>
  <c r="M44" s="1"/>
  <c r="O44" s="1"/>
  <c r="J87" i="2"/>
  <c r="I88"/>
  <c r="P18" i="8" s="1"/>
  <c r="M41" s="1"/>
  <c r="O41" s="1"/>
  <c r="J88" i="2"/>
  <c r="J89"/>
  <c r="J90"/>
  <c r="I83"/>
  <c r="J83"/>
  <c r="K97"/>
  <c r="K98"/>
  <c r="K99"/>
  <c r="K100"/>
  <c r="K101"/>
  <c r="K102"/>
  <c r="K103"/>
  <c r="K96"/>
  <c r="J102"/>
  <c r="J103"/>
  <c r="M19" i="8" l="1"/>
  <c r="M33" s="1"/>
  <c r="O33" s="1"/>
  <c r="N33"/>
  <c r="M144" i="5"/>
  <c r="N46" i="8"/>
  <c r="P16"/>
  <c r="M39" s="1"/>
  <c r="P20"/>
  <c r="M43" s="1"/>
  <c r="P22"/>
  <c r="M45" s="1"/>
  <c r="P17"/>
  <c r="M40" s="1"/>
  <c r="P23"/>
  <c r="M46" s="1"/>
  <c r="F41" i="4"/>
  <c r="G41"/>
  <c r="F59"/>
  <c r="G59"/>
  <c r="F39"/>
  <c r="G39"/>
  <c r="F57"/>
  <c r="G57"/>
  <c r="F40"/>
  <c r="F58"/>
  <c r="S46" i="8"/>
  <c r="S47" s="1"/>
  <c r="V24"/>
  <c r="U39"/>
  <c r="U43"/>
  <c r="B64"/>
  <c r="B30"/>
  <c r="I88"/>
  <c r="T47"/>
  <c r="U46"/>
  <c r="U40"/>
  <c r="O43"/>
  <c r="O39"/>
  <c r="O40"/>
  <c r="F119" i="5"/>
  <c r="H33" i="8" s="1"/>
  <c r="H16"/>
  <c r="I16" s="1"/>
  <c r="F121" i="5"/>
  <c r="N119"/>
  <c r="H46" i="8"/>
  <c r="I46" s="1"/>
  <c r="N121" i="5"/>
  <c r="U119"/>
  <c r="H81" i="8"/>
  <c r="I81" s="1"/>
  <c r="U121" i="5"/>
  <c r="E123"/>
  <c r="C21" i="8" s="1"/>
  <c r="F120" i="5"/>
  <c r="H34" i="8" s="1"/>
  <c r="H17"/>
  <c r="I17" s="1"/>
  <c r="M123" i="5"/>
  <c r="N120"/>
  <c r="H47" i="8"/>
  <c r="I47" s="1"/>
  <c r="T123" i="5"/>
  <c r="U120"/>
  <c r="H82" i="8"/>
  <c r="I82" s="1"/>
  <c r="L111" i="5"/>
  <c r="L110"/>
  <c r="L109"/>
  <c r="S111"/>
  <c r="S110"/>
  <c r="S109"/>
  <c r="D144"/>
  <c r="N144"/>
  <c r="N35" i="8" s="1"/>
  <c r="D167" i="5"/>
  <c r="M167"/>
  <c r="L156" s="1"/>
  <c r="E167"/>
  <c r="S21" i="8" s="1"/>
  <c r="L155" i="5"/>
  <c r="D153"/>
  <c r="D154"/>
  <c r="D155"/>
  <c r="D156"/>
  <c r="D152"/>
  <c r="E144"/>
  <c r="L130"/>
  <c r="L131"/>
  <c r="L132"/>
  <c r="L133"/>
  <c r="L129"/>
  <c r="D130"/>
  <c r="D131"/>
  <c r="D132"/>
  <c r="D133"/>
  <c r="D129"/>
  <c r="U118"/>
  <c r="N118"/>
  <c r="D109"/>
  <c r="D111"/>
  <c r="D112"/>
  <c r="D110"/>
  <c r="F118"/>
  <c r="D108"/>
  <c r="K76" i="2"/>
  <c r="K70"/>
  <c r="K71"/>
  <c r="K72"/>
  <c r="K73"/>
  <c r="K74"/>
  <c r="K75"/>
  <c r="K77"/>
  <c r="K63"/>
  <c r="K57"/>
  <c r="K58"/>
  <c r="K59"/>
  <c r="K60"/>
  <c r="K61"/>
  <c r="K62"/>
  <c r="K64"/>
  <c r="H52"/>
  <c r="K45" s="1"/>
  <c r="J52"/>
  <c r="L64"/>
  <c r="L62"/>
  <c r="L60"/>
  <c r="L58"/>
  <c r="L57"/>
  <c r="L63"/>
  <c r="L61"/>
  <c r="K78"/>
  <c r="J78"/>
  <c r="J117"/>
  <c r="J104"/>
  <c r="K130"/>
  <c r="J130"/>
  <c r="T34" i="8" s="1"/>
  <c r="T36" s="1"/>
  <c r="I117" i="2"/>
  <c r="S20" i="8" s="1"/>
  <c r="S34" s="1"/>
  <c r="J91" i="2"/>
  <c r="I91"/>
  <c r="K104"/>
  <c r="B5"/>
  <c r="F20" s="1"/>
  <c r="B11" i="7"/>
  <c r="D14"/>
  <c r="D15" s="1"/>
  <c r="C3"/>
  <c r="B6" i="2"/>
  <c r="B7"/>
  <c r="B8"/>
  <c r="B9"/>
  <c r="B10"/>
  <c r="B7" i="6" s="1"/>
  <c r="E7" s="1"/>
  <c r="B11" i="2"/>
  <c r="D11" s="1"/>
  <c r="B71" i="5"/>
  <c r="D78"/>
  <c r="D79"/>
  <c r="D80"/>
  <c r="D81"/>
  <c r="D82"/>
  <c r="E82" s="1"/>
  <c r="C98"/>
  <c r="E98" s="1"/>
  <c r="F98" s="1"/>
  <c r="C99"/>
  <c r="T12"/>
  <c r="C97" s="1"/>
  <c r="E97" s="1"/>
  <c r="F97" s="1"/>
  <c r="S13"/>
  <c r="C96" s="1"/>
  <c r="E96" s="1"/>
  <c r="F96" s="1"/>
  <c r="R51"/>
  <c r="C95" s="1"/>
  <c r="E95" s="1"/>
  <c r="B31" i="2"/>
  <c r="B29"/>
  <c r="H192" i="1"/>
  <c r="T191"/>
  <c r="B24" i="2" s="1"/>
  <c r="D24" s="1"/>
  <c r="E24" s="1"/>
  <c r="T204" i="1"/>
  <c r="A71" i="5"/>
  <c r="O191" i="1"/>
  <c r="P191"/>
  <c r="Q191"/>
  <c r="S191"/>
  <c r="U191"/>
  <c r="V191"/>
  <c r="W191"/>
  <c r="Y191"/>
  <c r="E276"/>
  <c r="I24" i="4"/>
  <c r="L24"/>
  <c r="I25"/>
  <c r="L25"/>
  <c r="I26"/>
  <c r="L26"/>
  <c r="I27"/>
  <c r="L27"/>
  <c r="I28"/>
  <c r="L28"/>
  <c r="I29"/>
  <c r="L29"/>
  <c r="I30"/>
  <c r="L30"/>
  <c r="I31"/>
  <c r="L31"/>
  <c r="I32"/>
  <c r="L32"/>
  <c r="B22" i="2"/>
  <c r="D22" s="1"/>
  <c r="E22" s="1"/>
  <c r="B23"/>
  <c r="D23" s="1"/>
  <c r="E23" s="1"/>
  <c r="B21"/>
  <c r="D21" s="1"/>
  <c r="E21" s="1"/>
  <c r="B20"/>
  <c r="D20" s="1"/>
  <c r="E20" s="1"/>
  <c r="B21" i="6"/>
  <c r="S204" i="1"/>
  <c r="U204"/>
  <c r="V204"/>
  <c r="Y192"/>
  <c r="J31" i="4"/>
  <c r="K31"/>
  <c r="M31"/>
  <c r="N31"/>
  <c r="O31"/>
  <c r="J32"/>
  <c r="K32"/>
  <c r="M32"/>
  <c r="N32"/>
  <c r="O32"/>
  <c r="O30"/>
  <c r="N30"/>
  <c r="M30"/>
  <c r="J30"/>
  <c r="K30"/>
  <c r="J28"/>
  <c r="K28"/>
  <c r="M28"/>
  <c r="N28"/>
  <c r="O28"/>
  <c r="J29"/>
  <c r="K29"/>
  <c r="M29"/>
  <c r="N29"/>
  <c r="O29"/>
  <c r="O27"/>
  <c r="N27"/>
  <c r="M27"/>
  <c r="K27"/>
  <c r="J27"/>
  <c r="J25"/>
  <c r="K25"/>
  <c r="M25"/>
  <c r="N25"/>
  <c r="O25"/>
  <c r="J26"/>
  <c r="K26"/>
  <c r="M26"/>
  <c r="N26"/>
  <c r="O26"/>
  <c r="O24"/>
  <c r="N24"/>
  <c r="M24"/>
  <c r="K24"/>
  <c r="J24"/>
  <c r="E4"/>
  <c r="F4" s="1"/>
  <c r="F5"/>
  <c r="E3"/>
  <c r="F3" s="1"/>
  <c r="C5" i="7"/>
  <c r="D5" s="1"/>
  <c r="C4"/>
  <c r="D4" s="1"/>
  <c r="D3"/>
  <c r="B3" i="6"/>
  <c r="E3" s="1"/>
  <c r="G3" s="1"/>
  <c r="G11" i="2"/>
  <c r="I11"/>
  <c r="P27" i="4" l="1"/>
  <c r="D46" s="1"/>
  <c r="D6" i="7"/>
  <c r="B28"/>
  <c r="C35" i="8"/>
  <c r="C18"/>
  <c r="H39"/>
  <c r="H37"/>
  <c r="H87"/>
  <c r="H52"/>
  <c r="H22"/>
  <c r="H85"/>
  <c r="I85" s="1"/>
  <c r="H50"/>
  <c r="I50" s="1"/>
  <c r="H20"/>
  <c r="I20" s="1"/>
  <c r="B12" i="7"/>
  <c r="H59" i="8" s="1"/>
  <c r="C48"/>
  <c r="O46"/>
  <c r="K90" i="2"/>
  <c r="M20" i="8"/>
  <c r="M34" s="1"/>
  <c r="L99" i="2"/>
  <c r="N34" i="8"/>
  <c r="O34" s="1"/>
  <c r="U34"/>
  <c r="C23" i="4"/>
  <c r="P28"/>
  <c r="P32"/>
  <c r="P31"/>
  <c r="P24"/>
  <c r="S35" i="8"/>
  <c r="S22"/>
  <c r="D113" i="5"/>
  <c r="D134"/>
  <c r="L153"/>
  <c r="H109" i="8"/>
  <c r="H104"/>
  <c r="C86"/>
  <c r="S112" i="5"/>
  <c r="H67" i="8"/>
  <c r="C51"/>
  <c r="L112" i="5"/>
  <c r="H103" i="8"/>
  <c r="H70"/>
  <c r="H66"/>
  <c r="D157" i="5"/>
  <c r="L154"/>
  <c r="S108"/>
  <c r="S113" s="1"/>
  <c r="F95"/>
  <c r="H72" i="8"/>
  <c r="C130" i="5"/>
  <c r="M21" i="8"/>
  <c r="B100"/>
  <c r="I87"/>
  <c r="B63"/>
  <c r="I52"/>
  <c r="B29"/>
  <c r="I22"/>
  <c r="O45"/>
  <c r="L108" i="5"/>
  <c r="L152"/>
  <c r="K152"/>
  <c r="L157"/>
  <c r="C152"/>
  <c r="L134"/>
  <c r="C131"/>
  <c r="C132"/>
  <c r="C133"/>
  <c r="C129"/>
  <c r="U123"/>
  <c r="N123"/>
  <c r="F123"/>
  <c r="C38" i="8" s="1"/>
  <c r="C108" i="5"/>
  <c r="E80"/>
  <c r="E78"/>
  <c r="F99"/>
  <c r="E99"/>
  <c r="E100" s="1"/>
  <c r="E81"/>
  <c r="E79"/>
  <c r="K65" i="2"/>
  <c r="K49"/>
  <c r="K50"/>
  <c r="K47"/>
  <c r="K44"/>
  <c r="K51"/>
  <c r="K48"/>
  <c r="K46"/>
  <c r="L46"/>
  <c r="L48"/>
  <c r="L50"/>
  <c r="L44"/>
  <c r="L45"/>
  <c r="L47"/>
  <c r="L49"/>
  <c r="L51"/>
  <c r="L65"/>
  <c r="L72"/>
  <c r="L74"/>
  <c r="L76"/>
  <c r="L70"/>
  <c r="L71"/>
  <c r="L73"/>
  <c r="L75"/>
  <c r="L77"/>
  <c r="L122"/>
  <c r="L124"/>
  <c r="L126"/>
  <c r="L128"/>
  <c r="L123"/>
  <c r="L125"/>
  <c r="L127"/>
  <c r="L129"/>
  <c r="K85"/>
  <c r="K87"/>
  <c r="K89"/>
  <c r="K83"/>
  <c r="L101"/>
  <c r="L100"/>
  <c r="L96"/>
  <c r="L103"/>
  <c r="L130"/>
  <c r="K84"/>
  <c r="K86"/>
  <c r="K88"/>
  <c r="L97"/>
  <c r="L98"/>
  <c r="L102"/>
  <c r="K111"/>
  <c r="K113"/>
  <c r="K115"/>
  <c r="K110"/>
  <c r="K112"/>
  <c r="K114"/>
  <c r="K116"/>
  <c r="K109"/>
  <c r="P30" i="4"/>
  <c r="P29"/>
  <c r="P26"/>
  <c r="P25"/>
  <c r="H5" i="8"/>
  <c r="G10" i="2"/>
  <c r="D5"/>
  <c r="G5" s="1"/>
  <c r="D10"/>
  <c r="B13" i="7"/>
  <c r="D11"/>
  <c r="B14"/>
  <c r="B15" s="1"/>
  <c r="B5" i="8"/>
  <c r="D4" i="2"/>
  <c r="G4" s="1"/>
  <c r="I4" s="1"/>
  <c r="C6" i="7"/>
  <c r="G7" i="6"/>
  <c r="I10" i="2"/>
  <c r="G3" i="4"/>
  <c r="G4"/>
  <c r="G5"/>
  <c r="P192" i="1"/>
  <c r="Q192"/>
  <c r="O192"/>
  <c r="C276"/>
  <c r="D276"/>
  <c r="F276"/>
  <c r="G276"/>
  <c r="H276"/>
  <c r="I276"/>
  <c r="J276"/>
  <c r="B276"/>
  <c r="F22" i="2"/>
  <c r="D14" i="6" s="1"/>
  <c r="F24" i="2"/>
  <c r="F23"/>
  <c r="F21"/>
  <c r="D6" s="1"/>
  <c r="C63" i="4" l="1"/>
  <c r="C46"/>
  <c r="D63"/>
  <c r="D12" i="7"/>
  <c r="C83" i="8"/>
  <c r="L113" i="5"/>
  <c r="D68" i="4"/>
  <c r="D51"/>
  <c r="C28"/>
  <c r="C68"/>
  <c r="C51"/>
  <c r="B26" i="8"/>
  <c r="D64" i="4"/>
  <c r="D47"/>
  <c r="C24"/>
  <c r="D24" s="1"/>
  <c r="C64"/>
  <c r="C47"/>
  <c r="B97" i="8"/>
  <c r="B60"/>
  <c r="D70" i="4"/>
  <c r="D53"/>
  <c r="C30"/>
  <c r="C70"/>
  <c r="C53"/>
  <c r="D65"/>
  <c r="D48"/>
  <c r="C65"/>
  <c r="C48"/>
  <c r="C25"/>
  <c r="D52"/>
  <c r="D69"/>
  <c r="C69"/>
  <c r="C52"/>
  <c r="C29"/>
  <c r="D62"/>
  <c r="E62" s="1"/>
  <c r="D45"/>
  <c r="C62"/>
  <c r="C22"/>
  <c r="C45"/>
  <c r="D50"/>
  <c r="D67"/>
  <c r="C67"/>
  <c r="C50"/>
  <c r="C27"/>
  <c r="D66"/>
  <c r="D49"/>
  <c r="C26"/>
  <c r="C66"/>
  <c r="C49"/>
  <c r="S36" i="8"/>
  <c r="U35"/>
  <c r="H62"/>
  <c r="K112" i="5"/>
  <c r="H99" i="8"/>
  <c r="R112" i="5"/>
  <c r="F100"/>
  <c r="R111"/>
  <c r="M35" i="8"/>
  <c r="K108" i="5"/>
  <c r="K109"/>
  <c r="K111"/>
  <c r="R109"/>
  <c r="K110"/>
  <c r="R110"/>
  <c r="R108"/>
  <c r="G96" i="8"/>
  <c r="G59"/>
  <c r="I59" s="1"/>
  <c r="B35"/>
  <c r="D35" s="1"/>
  <c r="B83"/>
  <c r="D83" s="1"/>
  <c r="B48"/>
  <c r="D48" s="1"/>
  <c r="B18"/>
  <c r="D18" s="1"/>
  <c r="K156" i="5"/>
  <c r="K155"/>
  <c r="K154"/>
  <c r="K153"/>
  <c r="C156"/>
  <c r="C155"/>
  <c r="C154"/>
  <c r="C153"/>
  <c r="K133"/>
  <c r="K132"/>
  <c r="K131"/>
  <c r="K130"/>
  <c r="K129"/>
  <c r="K134" s="1"/>
  <c r="C134"/>
  <c r="C112"/>
  <c r="C111"/>
  <c r="C109"/>
  <c r="C110"/>
  <c r="C113"/>
  <c r="K52" i="2"/>
  <c r="L78"/>
  <c r="L52"/>
  <c r="K117"/>
  <c r="K91"/>
  <c r="L104"/>
  <c r="E89" i="5"/>
  <c r="D8" i="2"/>
  <c r="D7"/>
  <c r="D9"/>
  <c r="D13" i="6"/>
  <c r="D12"/>
  <c r="G6" i="2"/>
  <c r="I6" s="1"/>
  <c r="H8" i="8"/>
  <c r="G7" i="2"/>
  <c r="G9"/>
  <c r="G8"/>
  <c r="B12" i="6"/>
  <c r="C12" s="1"/>
  <c r="B14"/>
  <c r="C14" s="1"/>
  <c r="B6" s="1"/>
  <c r="E6" s="1"/>
  <c r="B13"/>
  <c r="C13" s="1"/>
  <c r="B5" s="1"/>
  <c r="E5" s="1"/>
  <c r="D22" i="4"/>
  <c r="D30"/>
  <c r="D26"/>
  <c r="D28"/>
  <c r="H49" i="8" l="1"/>
  <c r="D13" i="7"/>
  <c r="H96" i="8"/>
  <c r="I96" s="1"/>
  <c r="E45" i="4"/>
  <c r="E51"/>
  <c r="C16" i="8"/>
  <c r="H19" s="1"/>
  <c r="H84"/>
  <c r="C81"/>
  <c r="C87" s="1"/>
  <c r="C46"/>
  <c r="C52" s="1"/>
  <c r="E48" i="4"/>
  <c r="N42" i="8"/>
  <c r="E65" i="4"/>
  <c r="N30" i="8"/>
  <c r="E68" i="4"/>
  <c r="M16" i="8"/>
  <c r="O35"/>
  <c r="R113" i="5"/>
  <c r="K113"/>
  <c r="B21" i="8"/>
  <c r="B86"/>
  <c r="B51"/>
  <c r="C157" i="5"/>
  <c r="K157"/>
  <c r="E86"/>
  <c r="E85"/>
  <c r="E87"/>
  <c r="E88"/>
  <c r="B4" i="6"/>
  <c r="I5" i="2"/>
  <c r="G12"/>
  <c r="J11" s="1"/>
  <c r="D86" i="5"/>
  <c r="E9" i="8"/>
  <c r="G6" i="6"/>
  <c r="G5"/>
  <c r="E7" i="8" s="1"/>
  <c r="I7" i="2"/>
  <c r="I9"/>
  <c r="E5" i="8" s="1"/>
  <c r="D25" i="4"/>
  <c r="D23"/>
  <c r="E22" s="1"/>
  <c r="D29"/>
  <c r="E28" s="1"/>
  <c r="D27"/>
  <c r="I49" i="8" l="1"/>
  <c r="H54"/>
  <c r="I19"/>
  <c r="H24"/>
  <c r="C33"/>
  <c r="H94"/>
  <c r="P19"/>
  <c r="M30"/>
  <c r="M36" s="1"/>
  <c r="M22"/>
  <c r="O30"/>
  <c r="N36"/>
  <c r="N47"/>
  <c r="I84"/>
  <c r="H89"/>
  <c r="H57"/>
  <c r="G105"/>
  <c r="I105" s="1"/>
  <c r="G68"/>
  <c r="G35"/>
  <c r="I35" s="1"/>
  <c r="G109"/>
  <c r="I109" s="1"/>
  <c r="G72"/>
  <c r="G39"/>
  <c r="I39" s="1"/>
  <c r="D51"/>
  <c r="D21"/>
  <c r="G107"/>
  <c r="I107" s="1"/>
  <c r="G70"/>
  <c r="G37"/>
  <c r="I37" s="1"/>
  <c r="D86"/>
  <c r="E90" i="5"/>
  <c r="J4" i="2"/>
  <c r="H3" i="8"/>
  <c r="B3"/>
  <c r="E6"/>
  <c r="E4" i="6"/>
  <c r="J7" i="2"/>
  <c r="H7" i="8"/>
  <c r="E4"/>
  <c r="D85" i="5"/>
  <c r="D88"/>
  <c r="D89"/>
  <c r="D87"/>
  <c r="B8" i="8"/>
  <c r="E10"/>
  <c r="J8" i="2"/>
  <c r="J6"/>
  <c r="I12"/>
  <c r="B7" i="8" s="1"/>
  <c r="J5" i="2"/>
  <c r="J10"/>
  <c r="J9"/>
  <c r="E25" i="4"/>
  <c r="M42" i="8" l="1"/>
  <c r="P24"/>
  <c r="H69"/>
  <c r="H74" s="1"/>
  <c r="H63"/>
  <c r="H106"/>
  <c r="H111" s="1"/>
  <c r="H100"/>
  <c r="G110"/>
  <c r="G73"/>
  <c r="G40"/>
  <c r="G98"/>
  <c r="I98" s="1"/>
  <c r="G61"/>
  <c r="I61" s="1"/>
  <c r="B37"/>
  <c r="D37" s="1"/>
  <c r="G62"/>
  <c r="B38"/>
  <c r="G99"/>
  <c r="B85"/>
  <c r="B50"/>
  <c r="B20"/>
  <c r="G94"/>
  <c r="I94" s="1"/>
  <c r="G57"/>
  <c r="I57" s="1"/>
  <c r="B33"/>
  <c r="D33" s="1"/>
  <c r="G104"/>
  <c r="I104" s="1"/>
  <c r="G67"/>
  <c r="G34"/>
  <c r="I34" s="1"/>
  <c r="G106"/>
  <c r="I106" s="1"/>
  <c r="G69"/>
  <c r="G36"/>
  <c r="I36" s="1"/>
  <c r="B81"/>
  <c r="D81" s="1"/>
  <c r="B46"/>
  <c r="D46" s="1"/>
  <c r="B16"/>
  <c r="D16" s="1"/>
  <c r="G4" i="6"/>
  <c r="H6" i="8"/>
  <c r="H9" s="1"/>
  <c r="E8" i="6"/>
  <c r="K6" i="2"/>
  <c r="K9"/>
  <c r="K8"/>
  <c r="K10"/>
  <c r="D90" i="5"/>
  <c r="J12" i="2"/>
  <c r="K11"/>
  <c r="K4"/>
  <c r="K7"/>
  <c r="K5"/>
  <c r="M47" i="8" l="1"/>
  <c r="O42"/>
  <c r="D50"/>
  <c r="I99"/>
  <c r="I62"/>
  <c r="I40"/>
  <c r="I110"/>
  <c r="B19"/>
  <c r="D19" s="1"/>
  <c r="B84"/>
  <c r="D84" s="1"/>
  <c r="B49"/>
  <c r="D49" s="1"/>
  <c r="D20"/>
  <c r="B22"/>
  <c r="D85"/>
  <c r="D38"/>
  <c r="E26" i="6"/>
  <c r="E24"/>
  <c r="E27"/>
  <c r="E25"/>
  <c r="E28"/>
  <c r="E3" i="8"/>
  <c r="G8" i="6"/>
  <c r="K12" i="2"/>
  <c r="B87" i="8" l="1"/>
  <c r="E11"/>
  <c r="G103"/>
  <c r="G66"/>
  <c r="G33"/>
  <c r="B52"/>
  <c r="B6"/>
  <c r="B28" i="6"/>
  <c r="B27"/>
  <c r="B26"/>
  <c r="B25"/>
  <c r="B24"/>
  <c r="E29"/>
  <c r="I66" i="8" l="1"/>
  <c r="G74"/>
  <c r="B9"/>
  <c r="G60"/>
  <c r="B36"/>
  <c r="G97"/>
  <c r="I33"/>
  <c r="G41"/>
  <c r="I103"/>
  <c r="G111"/>
  <c r="B29" i="6"/>
  <c r="D36" i="8" l="1"/>
  <c r="B39"/>
  <c r="I97"/>
  <c r="G100"/>
  <c r="I60"/>
  <c r="G63"/>
</calcChain>
</file>

<file path=xl/comments1.xml><?xml version="1.0" encoding="utf-8"?>
<comments xmlns="http://schemas.openxmlformats.org/spreadsheetml/2006/main">
  <authors>
    <author>Nowy</author>
  </authors>
  <commentList>
    <comment ref="B4" authorId="0">
      <text>
        <r>
          <rPr>
            <b/>
            <sz val="8"/>
            <color indexed="81"/>
            <rFont val="Tahoma"/>
            <family val="2"/>
            <charset val="238"/>
          </rPr>
          <t>Nowy:</t>
        </r>
        <r>
          <rPr>
            <sz val="8"/>
            <color indexed="81"/>
            <rFont val="Tahoma"/>
            <family val="2"/>
            <charset val="238"/>
          </rPr>
          <t xml:space="preserve">
dane PGE</t>
        </r>
      </text>
    </comment>
    <comment ref="B10" authorId="0">
      <text>
        <r>
          <rPr>
            <b/>
            <sz val="8"/>
            <color indexed="81"/>
            <rFont val="Tahoma"/>
            <family val="2"/>
            <charset val="238"/>
          </rPr>
          <t>Nowy:</t>
        </r>
        <r>
          <rPr>
            <sz val="8"/>
            <color indexed="81"/>
            <rFont val="Tahoma"/>
            <family val="2"/>
            <charset val="238"/>
          </rPr>
          <t xml:space="preserve">
ciepło sieciowe produkowane przez kotłownie na ulicy Zawadzkiej zużywane na potrzeby mieszkaniowe
- dane SM Przodownik</t>
        </r>
      </text>
    </comment>
    <comment ref="H10" authorId="0">
      <text>
        <r>
          <rPr>
            <b/>
            <sz val="8"/>
            <color indexed="81"/>
            <rFont val="Tahoma"/>
            <charset val="1"/>
          </rPr>
          <t>Nowy:</t>
        </r>
        <r>
          <rPr>
            <sz val="8"/>
            <color indexed="81"/>
            <rFont val="Tahoma"/>
            <charset val="1"/>
          </rPr>
          <t xml:space="preserve">
MgCO2e/GJ</t>
        </r>
      </text>
    </comment>
    <comment ref="B11" authorId="0">
      <text>
        <r>
          <rPr>
            <b/>
            <sz val="8"/>
            <color indexed="81"/>
            <rFont val="Tahoma"/>
            <family val="2"/>
            <charset val="238"/>
          </rPr>
          <t>Nowy:</t>
        </r>
        <r>
          <rPr>
            <sz val="8"/>
            <color indexed="81"/>
            <rFont val="Tahoma"/>
            <family val="2"/>
            <charset val="238"/>
          </rPr>
          <t xml:space="preserve">
ciepło sieciowe produkowane przez kotłownie na ulicy Wierzbowej zużywane na potrzeby mieszkaniowe
- dane ZGC Tomaszów Mazowiecki</t>
        </r>
      </text>
    </comment>
    <comment ref="H11" authorId="0">
      <text>
        <r>
          <rPr>
            <b/>
            <sz val="8"/>
            <color indexed="81"/>
            <rFont val="Tahoma"/>
            <charset val="1"/>
          </rPr>
          <t>Nowy:</t>
        </r>
        <r>
          <rPr>
            <sz val="8"/>
            <color indexed="81"/>
            <rFont val="Tahoma"/>
            <charset val="1"/>
          </rPr>
          <t xml:space="preserve">
MgCO2e/GJ</t>
        </r>
      </text>
    </comment>
    <comment ref="B31" authorId="0">
      <text>
        <r>
          <rPr>
            <b/>
            <sz val="8"/>
            <color indexed="81"/>
            <rFont val="Tahoma"/>
            <charset val="1"/>
          </rPr>
          <t>Nowy:</t>
        </r>
        <r>
          <rPr>
            <sz val="8"/>
            <color indexed="81"/>
            <rFont val="Tahoma"/>
            <charset val="1"/>
          </rPr>
          <t xml:space="preserve">
Różnica pomiędzy wyprodukowanym ciepłem, a zużytą energią przez powietrzną pompę ciepła ul. Spalska 114A, Tomaszów Mazowiecki</t>
        </r>
      </text>
    </comment>
  </commentList>
</comments>
</file>

<file path=xl/comments2.xml><?xml version="1.0" encoding="utf-8"?>
<comments xmlns="http://schemas.openxmlformats.org/spreadsheetml/2006/main">
  <authors>
    <author>Nowy</author>
  </authors>
  <commentList>
    <comment ref="S17" authorId="0">
      <text>
        <r>
          <rPr>
            <b/>
            <sz val="8"/>
            <color indexed="81"/>
            <rFont val="Tahoma"/>
            <family val="2"/>
            <charset val="238"/>
          </rPr>
          <t>Nowy:</t>
        </r>
        <r>
          <rPr>
            <sz val="8"/>
            <color indexed="81"/>
            <rFont val="Tahoma"/>
            <family val="2"/>
            <charset val="238"/>
          </rPr>
          <t xml:space="preserve">
m3/rok</t>
        </r>
      </text>
    </comment>
  </commentList>
</comments>
</file>

<file path=xl/comments3.xml><?xml version="1.0" encoding="utf-8"?>
<comments xmlns="http://schemas.openxmlformats.org/spreadsheetml/2006/main">
  <authors>
    <author>Nowy</author>
  </authors>
  <commentList>
    <comment ref="B3" authorId="0">
      <text>
        <r>
          <rPr>
            <b/>
            <sz val="8"/>
            <color indexed="81"/>
            <rFont val="Tahoma"/>
            <family val="2"/>
            <charset val="238"/>
          </rPr>
          <t>Nowy:</t>
        </r>
        <r>
          <rPr>
            <sz val="8"/>
            <color indexed="81"/>
            <rFont val="Tahoma"/>
            <family val="2"/>
            <charset val="238"/>
          </rPr>
          <t xml:space="preserve">
dane PGE</t>
        </r>
      </text>
    </comment>
    <comment ref="B7" authorId="0">
      <text>
        <r>
          <rPr>
            <b/>
            <sz val="8"/>
            <color indexed="81"/>
            <rFont val="Tahoma"/>
            <family val="2"/>
            <charset val="238"/>
          </rPr>
          <t>Nowy:</t>
        </r>
        <r>
          <rPr>
            <sz val="8"/>
            <color indexed="81"/>
            <rFont val="Tahoma"/>
            <family val="2"/>
            <charset val="238"/>
          </rPr>
          <t xml:space="preserve">
Na podstawie Projektu założeń do planu zaopatrzenia w ciepło, energię elektryczną i paliwa gazowe
dla miasta Tomaszowa Mazowieckiego</t>
        </r>
      </text>
    </comment>
  </commentList>
</comments>
</file>

<file path=xl/sharedStrings.xml><?xml version="1.0" encoding="utf-8"?>
<sst xmlns="http://schemas.openxmlformats.org/spreadsheetml/2006/main" count="6566" uniqueCount="703">
  <si>
    <t>ulica</t>
  </si>
  <si>
    <t>gaz</t>
  </si>
  <si>
    <t>inne</t>
  </si>
  <si>
    <t>Nowa 58</t>
  </si>
  <si>
    <t>+</t>
  </si>
  <si>
    <t>&lt;5</t>
  </si>
  <si>
    <t>Nowa 53a</t>
  </si>
  <si>
    <t>&gt;15</t>
  </si>
  <si>
    <t>Piaskowa 13</t>
  </si>
  <si>
    <t>Piaskowa 11</t>
  </si>
  <si>
    <t>Piaskowa 31</t>
  </si>
  <si>
    <t>Północna 11</t>
  </si>
  <si>
    <t>Wysoka 82</t>
  </si>
  <si>
    <t>Wysoka 20</t>
  </si>
  <si>
    <t xml:space="preserve">   &lt;5</t>
  </si>
  <si>
    <t>Piaskowa 45</t>
  </si>
  <si>
    <t>Gęsia 12</t>
  </si>
  <si>
    <t>Wspólna 6</t>
  </si>
  <si>
    <t>19??</t>
  </si>
  <si>
    <t>Wspólna 16</t>
  </si>
  <si>
    <t>Wspólna 44</t>
  </si>
  <si>
    <t>Wspólna 43</t>
  </si>
  <si>
    <t>Czarna 18</t>
  </si>
  <si>
    <t>Główno 20</t>
  </si>
  <si>
    <t>Wspólna 26</t>
  </si>
  <si>
    <t>Romaniczek 4</t>
  </si>
  <si>
    <t>Garbuska 24</t>
  </si>
  <si>
    <t>?</t>
  </si>
  <si>
    <t>Niemcewicza 29</t>
  </si>
  <si>
    <t>Długa 48</t>
  </si>
  <si>
    <t>Handlowa</t>
  </si>
  <si>
    <t>Cegielniana</t>
  </si>
  <si>
    <t>Poprzeczna 10</t>
  </si>
  <si>
    <t>Smutna 14</t>
  </si>
  <si>
    <t>Cmentarna 21a</t>
  </si>
  <si>
    <t>Lewa 18</t>
  </si>
  <si>
    <t>Panele słoneczne</t>
  </si>
  <si>
    <t>Smugowa 38</t>
  </si>
  <si>
    <t>Bluszczowa 11</t>
  </si>
  <si>
    <t>Zielona 77</t>
  </si>
  <si>
    <t>Zielona 99</t>
  </si>
  <si>
    <t>Ogrodowa 92</t>
  </si>
  <si>
    <t>Ogrodowa 92/93</t>
  </si>
  <si>
    <t>Ogrodowa 111</t>
  </si>
  <si>
    <t>Hetmańska 14</t>
  </si>
  <si>
    <t>Bema 59</t>
  </si>
  <si>
    <t>Batorego 17</t>
  </si>
  <si>
    <t>Kanonierów 16</t>
  </si>
  <si>
    <t>Zawadzka 70a</t>
  </si>
  <si>
    <t>Zawadzka 76</t>
  </si>
  <si>
    <t>Zawadzka 97</t>
  </si>
  <si>
    <t>Zawadzka 103</t>
  </si>
  <si>
    <t>Zawadzka 111</t>
  </si>
  <si>
    <t>Zawadzka 116</t>
  </si>
  <si>
    <t>Zawadzka 140</t>
  </si>
  <si>
    <t>Zawadzka 148</t>
  </si>
  <si>
    <t>Zawadzka 158</t>
  </si>
  <si>
    <t>Zawadzka 166a</t>
  </si>
  <si>
    <t>Zawadzka 176</t>
  </si>
  <si>
    <t>Zawada 178</t>
  </si>
  <si>
    <t>Zawada 184a</t>
  </si>
  <si>
    <t>Zawada 194</t>
  </si>
  <si>
    <t>Mostowa 26</t>
  </si>
  <si>
    <t>Hallera 46</t>
  </si>
  <si>
    <t>Spacerowa 5</t>
  </si>
  <si>
    <t>Zdrojowa 12</t>
  </si>
  <si>
    <t>Hallera 57</t>
  </si>
  <si>
    <t>Hallera 28</t>
  </si>
  <si>
    <t>Hallera 43a</t>
  </si>
  <si>
    <t>Hallera 39</t>
  </si>
  <si>
    <t>Hallera 29</t>
  </si>
  <si>
    <t>Hallera 13</t>
  </si>
  <si>
    <t>Fabryczna 32</t>
  </si>
  <si>
    <t>Fabryczna 26a</t>
  </si>
  <si>
    <t>Fabryczna 19</t>
  </si>
  <si>
    <t>Fabryczna 10</t>
  </si>
  <si>
    <t>Zgorzelicka</t>
  </si>
  <si>
    <t>Ciesielska 2a</t>
  </si>
  <si>
    <t>Ciesielska 3c</t>
  </si>
  <si>
    <t>Długa 10</t>
  </si>
  <si>
    <t>Klonowa 2/4</t>
  </si>
  <si>
    <t>Wrzosowa 39</t>
  </si>
  <si>
    <t>Wrzosowa 60</t>
  </si>
  <si>
    <t>Kamienna 1</t>
  </si>
  <si>
    <t>Równa 4</t>
  </si>
  <si>
    <t>Sucha 6</t>
  </si>
  <si>
    <t>Szczęśliwa 59</t>
  </si>
  <si>
    <t>Kowalska 3</t>
  </si>
  <si>
    <t>Myśliwska 18</t>
  </si>
  <si>
    <t>Michałowska 70</t>
  </si>
  <si>
    <t>Michałowska 39</t>
  </si>
  <si>
    <t>Michałowska 7</t>
  </si>
  <si>
    <t>Wawelska 18</t>
  </si>
  <si>
    <t>Wawelska 1/5</t>
  </si>
  <si>
    <t>Cisowa 15</t>
  </si>
  <si>
    <t>Cisowa 7</t>
  </si>
  <si>
    <t>Cegielniana 45</t>
  </si>
  <si>
    <t>Opoczyńska 42</t>
  </si>
  <si>
    <t>Łozińskiego 23</t>
  </si>
  <si>
    <t>Cegielna 18a</t>
  </si>
  <si>
    <t>Pompa elektryczna</t>
  </si>
  <si>
    <t>-</t>
  </si>
  <si>
    <t>10000-12000</t>
  </si>
  <si>
    <t>Nagórzycka 57/59</t>
  </si>
  <si>
    <t>Nagórzycka 61/63</t>
  </si>
  <si>
    <t>Nagórzycka 79</t>
  </si>
  <si>
    <t>Nagórzycka 34/36</t>
  </si>
  <si>
    <t>Nagórzycka 45</t>
  </si>
  <si>
    <t>Nagórzycka 51</t>
  </si>
  <si>
    <t>Nagórzycka 120</t>
  </si>
  <si>
    <t>Nagórzycka 146/148</t>
  </si>
  <si>
    <t>Nagórzycka 152/154</t>
  </si>
  <si>
    <t>Nagórzycka 101/103</t>
  </si>
  <si>
    <t>Starowiejska 81</t>
  </si>
  <si>
    <t>Starowiejska 78/80</t>
  </si>
  <si>
    <t>Starowiejska 62a</t>
  </si>
  <si>
    <t>Starowiejska 58</t>
  </si>
  <si>
    <t>Starowiejska 27/29</t>
  </si>
  <si>
    <t>Starowiejska 32</t>
  </si>
  <si>
    <t>Starowiejska  28/30</t>
  </si>
  <si>
    <t>Starowiejska 39</t>
  </si>
  <si>
    <t>1966/</t>
  </si>
  <si>
    <t>Starowiejska 148</t>
  </si>
  <si>
    <t>Ludowa 18/20</t>
  </si>
  <si>
    <t>Andrzeja 8</t>
  </si>
  <si>
    <t>Andrzeja 7</t>
  </si>
  <si>
    <t>Andrzeja 2</t>
  </si>
  <si>
    <t>Andrzeja 10a</t>
  </si>
  <si>
    <t>Danuty 12</t>
  </si>
  <si>
    <t>Edwarda 5</t>
  </si>
  <si>
    <t>energia elektryczna</t>
  </si>
  <si>
    <t>biomasa/drewno</t>
  </si>
  <si>
    <t>olej opałowy</t>
  </si>
  <si>
    <t>rok budowy</t>
  </si>
  <si>
    <t>wiek źródła ciepła</t>
  </si>
  <si>
    <t>liczba mieszkańców</t>
  </si>
  <si>
    <t>od 5 do 10</t>
  </si>
  <si>
    <t>od 10 do 15</t>
  </si>
  <si>
    <r>
      <t>pow. użytkowa [m</t>
    </r>
    <r>
      <rPr>
        <vertAlign val="superscript"/>
        <sz val="12"/>
        <color theme="1"/>
        <rFont val="Times New Roman"/>
        <family val="1"/>
        <charset val="238"/>
      </rPr>
      <t>2</t>
    </r>
    <r>
      <rPr>
        <sz val="12"/>
        <color theme="1"/>
        <rFont val="Times New Roman"/>
        <family val="1"/>
        <charset val="238"/>
      </rPr>
      <t>]</t>
    </r>
  </si>
  <si>
    <t>to samo źródło ciepła co do ogrzewania</t>
  </si>
  <si>
    <t>to samo źródło ciepła co do ogrzewania+gazowe przepływowe</t>
  </si>
  <si>
    <t>to samo źródło ciepła co do ogrzewania + terma gazowa</t>
  </si>
  <si>
    <t>to samo źródło ciepła co do ogrzewania + elektryczne przepływowe</t>
  </si>
  <si>
    <t>to samo źródło ciepła co do ogrzewania+bojler elektryczny</t>
  </si>
  <si>
    <t>bojler elektryczny</t>
  </si>
  <si>
    <t>to samo źródło ciepła co do ogrzewania + gazowe przepływowe</t>
  </si>
  <si>
    <t>gazowe przepływowe</t>
  </si>
  <si>
    <t>Zawadzka 62a</t>
  </si>
  <si>
    <t>Gdyńska 10</t>
  </si>
  <si>
    <t>Majowa 31</t>
  </si>
  <si>
    <t>Majowa 35A</t>
  </si>
  <si>
    <t>b.d</t>
  </si>
  <si>
    <t>Majowa 84</t>
  </si>
  <si>
    <t>Majowa 69</t>
  </si>
  <si>
    <t>Gdyńska 12</t>
  </si>
  <si>
    <t>Staszica 5</t>
  </si>
  <si>
    <t>Staszica 10A</t>
  </si>
  <si>
    <t>Kolejowa 15</t>
  </si>
  <si>
    <t>Kolejowa 36</t>
  </si>
  <si>
    <t>Kolejowa 82</t>
  </si>
  <si>
    <t>Kolejowa 114</t>
  </si>
  <si>
    <t>Torowa 54A</t>
  </si>
  <si>
    <t>Torowa 77/73</t>
  </si>
  <si>
    <t>Michałowska 54/56</t>
  </si>
  <si>
    <t>Nowa 43</t>
  </si>
  <si>
    <t>Nowa 41</t>
  </si>
  <si>
    <t>Nowa 13</t>
  </si>
  <si>
    <t>Nowa 5A</t>
  </si>
  <si>
    <t>Cisowa 25</t>
  </si>
  <si>
    <t>Torowa 139</t>
  </si>
  <si>
    <t>Kolejowa 6</t>
  </si>
  <si>
    <t>Kolejowa 5</t>
  </si>
  <si>
    <t>Wawelska 19</t>
  </si>
  <si>
    <t>Wawelska 15</t>
  </si>
  <si>
    <t>Witosa 36</t>
  </si>
  <si>
    <t>Kałużyńskiego 1</t>
  </si>
  <si>
    <t>Pliszczyńskiego 30</t>
  </si>
  <si>
    <t>Wilcza 26</t>
  </si>
  <si>
    <t>Wilcza 50</t>
  </si>
  <si>
    <t>Hubala 4</t>
  </si>
  <si>
    <t>Hubala 41/43</t>
  </si>
  <si>
    <t xml:space="preserve">Hubala 107 </t>
  </si>
  <si>
    <t>Gminna 31</t>
  </si>
  <si>
    <t>Nowa 33</t>
  </si>
  <si>
    <t>Anny 56</t>
  </si>
  <si>
    <t>Anny 41</t>
  </si>
  <si>
    <t>Anny 48</t>
  </si>
  <si>
    <t>Anny 44</t>
  </si>
  <si>
    <t>Anny 34</t>
  </si>
  <si>
    <t>Danuty 2</t>
  </si>
  <si>
    <t>Danuty 5</t>
  </si>
  <si>
    <t>węglowe+bojler elektryczny</t>
  </si>
  <si>
    <t>to samo źródło ciepła co do ogrzewania+kolektory słoneczne</t>
  </si>
  <si>
    <t>do obliczenie na podstawie cen paliw</t>
  </si>
  <si>
    <t>Wola  Wiaderna 40</t>
  </si>
  <si>
    <t>Wola  Wiaderna 10</t>
  </si>
  <si>
    <t>Wola  Wiaderna 23</t>
  </si>
  <si>
    <t>Wola  Wiaderna 36</t>
  </si>
  <si>
    <t>Wola  Wiaderna 3a</t>
  </si>
  <si>
    <t>Wola  Wiaderna 41</t>
  </si>
  <si>
    <t>Wola  Wiaderna 7</t>
  </si>
  <si>
    <t>Ujezdzka 13A</t>
  </si>
  <si>
    <t>Ujezdzka 15</t>
  </si>
  <si>
    <t>Ujezdzka 5</t>
  </si>
  <si>
    <t>Grażyny 22</t>
  </si>
  <si>
    <t>Damazego 33</t>
  </si>
  <si>
    <t>Damazego 32</t>
  </si>
  <si>
    <t>Jolanty 15</t>
  </si>
  <si>
    <t>Magdaleny 19/21</t>
  </si>
  <si>
    <t>Legionów 101</t>
  </si>
  <si>
    <t>Garbarska 7</t>
  </si>
  <si>
    <t>Garbarska 28</t>
  </si>
  <si>
    <t>Garbarska 26</t>
  </si>
  <si>
    <t>Brzozowa 10</t>
  </si>
  <si>
    <t>Brzozowa 21</t>
  </si>
  <si>
    <t>Brzozowa 25</t>
  </si>
  <si>
    <t>Bema 77</t>
  </si>
  <si>
    <t>Grota 31</t>
  </si>
  <si>
    <t>aktualne posiadane źródła ciepła</t>
  </si>
  <si>
    <t>sposób przygotowania ciepłem wody</t>
  </si>
  <si>
    <t>planowane modernizacje i inwestycje</t>
  </si>
  <si>
    <t>m3</t>
  </si>
  <si>
    <t>l</t>
  </si>
  <si>
    <t>Mg</t>
  </si>
  <si>
    <t>drewno [Mg]</t>
  </si>
  <si>
    <t>gaz [m3]</t>
  </si>
  <si>
    <t>olej [l]</t>
  </si>
  <si>
    <t>zużycie paliw</t>
  </si>
  <si>
    <t>eko-groszek [Mg]</t>
  </si>
  <si>
    <t>Andrzeja</t>
  </si>
  <si>
    <t>Anny</t>
  </si>
  <si>
    <t>Batorego</t>
  </si>
  <si>
    <t>Bema</t>
  </si>
  <si>
    <t>Bluszczowa</t>
  </si>
  <si>
    <t>Cegielna</t>
  </si>
  <si>
    <t>Ciesielska</t>
  </si>
  <si>
    <t>Cisowa</t>
  </si>
  <si>
    <t>Cmentarna</t>
  </si>
  <si>
    <t>Czarna</t>
  </si>
  <si>
    <t>Danuty</t>
  </si>
  <si>
    <t>Długa</t>
  </si>
  <si>
    <t>Edwarda</t>
  </si>
  <si>
    <t>Fabryczna</t>
  </si>
  <si>
    <t>Garbarska</t>
  </si>
  <si>
    <t>Garbuska</t>
  </si>
  <si>
    <t>Gdyńska</t>
  </si>
  <si>
    <t>Gęsia</t>
  </si>
  <si>
    <t>Główno</t>
  </si>
  <si>
    <t>Gminna</t>
  </si>
  <si>
    <t>Hallera</t>
  </si>
  <si>
    <t>Hetmańska</t>
  </si>
  <si>
    <t>Hubala</t>
  </si>
  <si>
    <t>Kałużyńskiego</t>
  </si>
  <si>
    <t>Kamienna</t>
  </si>
  <si>
    <t>Kanonierów</t>
  </si>
  <si>
    <t>Klonowa</t>
  </si>
  <si>
    <t>Kolejowa</t>
  </si>
  <si>
    <t>Kowalska</t>
  </si>
  <si>
    <t>Legionów</t>
  </si>
  <si>
    <t>Lewa</t>
  </si>
  <si>
    <t>Ludowa</t>
  </si>
  <si>
    <t>Łozińskiego</t>
  </si>
  <si>
    <t>Majowa</t>
  </si>
  <si>
    <t>Michałowska</t>
  </si>
  <si>
    <t>Mostowa</t>
  </si>
  <si>
    <t>Myśliwska</t>
  </si>
  <si>
    <t>Nagórzycka</t>
  </si>
  <si>
    <t>Niemcewicza</t>
  </si>
  <si>
    <t>Nowa</t>
  </si>
  <si>
    <t>Ogrodowa</t>
  </si>
  <si>
    <t>Opoczyńska</t>
  </si>
  <si>
    <t>Piaskowa</t>
  </si>
  <si>
    <t>Pliszczyńskiego</t>
  </si>
  <si>
    <t>Poprzeczna</t>
  </si>
  <si>
    <t>Północna</t>
  </si>
  <si>
    <t>Romaniczek</t>
  </si>
  <si>
    <t>Równa</t>
  </si>
  <si>
    <t>Smugowa</t>
  </si>
  <si>
    <t>Smutna</t>
  </si>
  <si>
    <t>Spacerowa</t>
  </si>
  <si>
    <t>Starowiejska</t>
  </si>
  <si>
    <t>Staszica</t>
  </si>
  <si>
    <t>Sucha</t>
  </si>
  <si>
    <t>Szczęśliwa</t>
  </si>
  <si>
    <t>Torowa</t>
  </si>
  <si>
    <t>Wawelska</t>
  </si>
  <si>
    <t>Wilcza</t>
  </si>
  <si>
    <t>Witosa</t>
  </si>
  <si>
    <t>Wola Wiaderna</t>
  </si>
  <si>
    <t>Wrzosowa</t>
  </si>
  <si>
    <t>Wspólna</t>
  </si>
  <si>
    <t>Wysoka</t>
  </si>
  <si>
    <t>Zawada</t>
  </si>
  <si>
    <t>Zawadzka</t>
  </si>
  <si>
    <t>Zdrojowa</t>
  </si>
  <si>
    <t>Grota</t>
  </si>
  <si>
    <t>Brzozowa</t>
  </si>
  <si>
    <t>Magdaleny</t>
  </si>
  <si>
    <t>Jolanty</t>
  </si>
  <si>
    <t>Damazego</t>
  </si>
  <si>
    <t>Grażyny</t>
  </si>
  <si>
    <t>Ujezdzka</t>
  </si>
  <si>
    <t>Zielona</t>
  </si>
  <si>
    <t>liczba ankiet</t>
  </si>
  <si>
    <t>Skłodowskiej-Cuire</t>
  </si>
  <si>
    <t>wiek budynków</t>
  </si>
  <si>
    <t>liczba budynków</t>
  </si>
  <si>
    <t>1951 - 1960</t>
  </si>
  <si>
    <t>1941 - 1950</t>
  </si>
  <si>
    <t>1961 - 1970</t>
  </si>
  <si>
    <t>1931 - 1940</t>
  </si>
  <si>
    <t>1971 - 1980</t>
  </si>
  <si>
    <t>1981 - 1990</t>
  </si>
  <si>
    <t>1991 - 2000</t>
  </si>
  <si>
    <t>2001 - 2010</t>
  </si>
  <si>
    <t>&gt;2010</t>
  </si>
  <si>
    <t>1921 - 1930</t>
  </si>
  <si>
    <t>Ogółem</t>
  </si>
  <si>
    <t>ściany</t>
  </si>
  <si>
    <t xml:space="preserve">okna </t>
  </si>
  <si>
    <t>dach</t>
  </si>
  <si>
    <t>[%]</t>
  </si>
  <si>
    <t>&lt;50</t>
  </si>
  <si>
    <t>51 - 100</t>
  </si>
  <si>
    <t>101 - 150</t>
  </si>
  <si>
    <t>151 - 200</t>
  </si>
  <si>
    <t>201 - 250</t>
  </si>
  <si>
    <t>&gt;250</t>
  </si>
  <si>
    <t>Motocykle</t>
  </si>
  <si>
    <t>bez przyczepy</t>
  </si>
  <si>
    <t>z przycepą</t>
  </si>
  <si>
    <t>Tranzyt</t>
  </si>
  <si>
    <t>Wyszczególnienie</t>
  </si>
  <si>
    <t>ciepło sieciowe</t>
  </si>
  <si>
    <t>brak planów</t>
  </si>
  <si>
    <t>Źródła ciepła</t>
  </si>
  <si>
    <t>Miejska Biblioteka Publiczna ul. Mościkiego 6</t>
  </si>
  <si>
    <t>Muzeum im Antoniego hr. Ostrowskiego u. POW 11/15</t>
  </si>
  <si>
    <t>Miejska Bibliotek Publiczna Oddział dla Dzieci i Młodzieży Plac Kościuszki 18</t>
  </si>
  <si>
    <t>Gaz</t>
  </si>
  <si>
    <t>Przedszkole nr 10 ul. Wawelska 24</t>
  </si>
  <si>
    <t>propan-butan</t>
  </si>
  <si>
    <t>brak info.</t>
  </si>
  <si>
    <t>Powiatowy Inspektorat Weterynarii ul. Orzeszkowej 15/19</t>
  </si>
  <si>
    <t>brak</t>
  </si>
  <si>
    <t>Dom dla osób z zaburzeniami psychicznymi ul. Szkolna 14A</t>
  </si>
  <si>
    <t>2016 - remont kapitalny dachu</t>
  </si>
  <si>
    <t>Miejski Ośrodek Kultury ul. Browarna 7</t>
  </si>
  <si>
    <t>NZOZ Przychodnia ul. Wilcza 29/31</t>
  </si>
  <si>
    <t>wentylacja grawitacyjna</t>
  </si>
  <si>
    <t>2018 - wymiana oświetlenia na LED, 2019 - modernizacja instalacji wod.-kan., podłączenie wody do sieci ciepłowniczej, likwidacja ogrzewania wody elektrycznie</t>
  </si>
  <si>
    <t>2017 -  termomodernizacja całości budynku A oraz dachu budynku B</t>
  </si>
  <si>
    <t>I LO im. J. Dąbrowskiego ul. Mościckiego 22/24</t>
  </si>
  <si>
    <t>ciepło sieciowe, energia elektryczna</t>
  </si>
  <si>
    <t>2017 - przechodzenie na żarówki LED; 2018 - wymiana instalacji elektrycznej; 2019 - instalowanie urządzeń elektrycznych o niskim poborze prądu; 2020 - wymiana instalacji C.O we wszystkich budynkach szkoły</t>
  </si>
  <si>
    <t>Gimnazjum nr 6 ul. Jałowcowa 8</t>
  </si>
  <si>
    <t>2017 - wymiana instalacji C.O</t>
  </si>
  <si>
    <t>termomodernizacja ścian</t>
  </si>
  <si>
    <t>Zespół Szkół Ponadgimnazjalnych nr 3 im. Jana Pawła II ul. Legionów 47</t>
  </si>
  <si>
    <t>Zespół Szkół Ponadgimnazjalnych nr 6 u. Strefowa 3</t>
  </si>
  <si>
    <t>2016 - remont dachu pracowni artystycznej; 2017 - modernizacja instalacji elektrycznej oraz centralnego ogrzewania</t>
  </si>
  <si>
    <t>KP PSP ul. Warszawska 105</t>
  </si>
  <si>
    <t xml:space="preserve">gaz </t>
  </si>
  <si>
    <t>Miejski Ośrodek Pomocy Społecznej ul. Cekanowska 5</t>
  </si>
  <si>
    <t>Dom Dziennego Pobytu ul. Piłsudzkiego 34</t>
  </si>
  <si>
    <t>Ośrodek Rehabilitacji Dzieci Niepełnosprawnych ul. Jana Pawła II 64/66</t>
  </si>
  <si>
    <t>gaz, energia elektryczna</t>
  </si>
  <si>
    <t>PUP ul. Konstytuacji 3 maja 46</t>
  </si>
  <si>
    <t>Poradnia lekarzy ul. Zagajnikowa 3</t>
  </si>
  <si>
    <t>2016 - modernizacja CO; 2017 - modernizacja CO, rur oraz grzejników; 2018 - wymiana podgrzewacza ciepłej wody; 2019 - wymiena oświetlenia na energooszczędne</t>
  </si>
  <si>
    <t>Ośrodek Kultury "Tkacz" ul. Niebrowska 50</t>
  </si>
  <si>
    <t>OSIR Przystań ul. PCK 2/8</t>
  </si>
  <si>
    <t>Kręgielnia - Tor Lodowy ul. Strzelecka 24/26</t>
  </si>
  <si>
    <t>Stadion Miejski ul. Nowowiejska 9/27</t>
  </si>
  <si>
    <t>Boisko ul. Nowowiejska 5/7</t>
  </si>
  <si>
    <t>Zespoł Placówek Wychowania Pozaszkolnego ul. PCK 10</t>
  </si>
  <si>
    <t>Zespoł Placówek Wychowania Pozaszkolnego - hala sportowa ul. Farbiarska 20</t>
  </si>
  <si>
    <t>Młodzieżowy Dom Kultury ul. PCK 10</t>
  </si>
  <si>
    <t>2016 - doprowadzenie wody</t>
  </si>
  <si>
    <t>brak wody w budynku</t>
  </si>
  <si>
    <t xml:space="preserve">brak wody </t>
  </si>
  <si>
    <t>Młodzieżowy Dom Kultury ul. Mościckiego 3</t>
  </si>
  <si>
    <t xml:space="preserve">brak </t>
  </si>
  <si>
    <t>2016 - remont i ocieplenie dachu</t>
  </si>
  <si>
    <t>2017-2018 -  termomodernizacja wraz z wentylacją</t>
  </si>
  <si>
    <t>2017 - modernizacja oświetlenia</t>
  </si>
  <si>
    <t>Zespół Szkół  nr 8 ul. Gminna 5/9</t>
  </si>
  <si>
    <t>Gimnazjum nr 3 im. J.Piłsudzkiego 42/46</t>
  </si>
  <si>
    <t>Podziemna Trasa Turystyczna i budynek Groty Nagórzyckie</t>
  </si>
  <si>
    <t>ciepło sieciowe kolektory słoneczne</t>
  </si>
  <si>
    <t>Kolektroy słoneczne, powierzchnia 250,9 m2 ilość 130 szt. Typ: GERES-ASCOG 4</t>
  </si>
  <si>
    <t>Tomaszowskie Centrum Zdrowia ul. JP II 35</t>
  </si>
  <si>
    <t>Skansen rzeki Pilicy ul. Frycza Modrzewskiego 9/11</t>
  </si>
  <si>
    <t>2016 -  wymiana c.o. w budynkach A i D /kontynuacja/</t>
  </si>
  <si>
    <t>Urząd Miasta ul.POW 10/16</t>
  </si>
  <si>
    <t>2018-2020 - podłączenie do sieci ciepłowniczej</t>
  </si>
  <si>
    <t>Dom Pomocy Społecznej nr 1 ul. Polna 56</t>
  </si>
  <si>
    <t>Komisariat Policji w Czerniewicach</t>
  </si>
  <si>
    <t>Komenda Powiatowa ul. Langego 44</t>
  </si>
  <si>
    <t>Komisariat Policji w Rokicinach</t>
  </si>
  <si>
    <t>Komisariat Konny Policji Smardzewice</t>
  </si>
  <si>
    <t>Dom Dziecka "Słoneczko" ul. Głowackiego 11</t>
  </si>
  <si>
    <t>Dom Dziecka "Słoneczko" ul. Nowowiejska 18</t>
  </si>
  <si>
    <t>Zespół Szkół Ponadgimnazjalnych nr 8 ul. Nadrzeczna 17/25</t>
  </si>
  <si>
    <t>II LO im. Stefana Żeromskiego ul. Jałowcowa 10</t>
  </si>
  <si>
    <t>II LO im. Stefana Żeromskiego ul. Jałowcowa 10 Orlik</t>
  </si>
  <si>
    <t>energia elektryczna, gaz</t>
  </si>
  <si>
    <t>Filia Domu Pomocy Społecznej ul. Farbiarska 27/29</t>
  </si>
  <si>
    <t>Zespół Szkolno-Przedszkolny nr 4 u. Sikorskiego 6a</t>
  </si>
  <si>
    <t>olej opałowy [l]</t>
  </si>
  <si>
    <t>ciepło sieciowe [GJ]</t>
  </si>
  <si>
    <t>Siedziba SM Nasza Chata ul. Wiejska 7</t>
  </si>
  <si>
    <t>Zespół Szkolno-Przedszkolny nr 6</t>
  </si>
  <si>
    <t>Dom Pomocy Społecznej nr 2 ul. Jana Pawła II 37</t>
  </si>
  <si>
    <t>Dzielnicowy Ośrodek Kultury ul. Gminna 37/39</t>
  </si>
  <si>
    <t>Ośrodek Wypoczynkowy Przystań ul. PCK 2/8</t>
  </si>
  <si>
    <t>Specjalny Ośrodek Szkolno - Wychowawczy ul. Majowa 1/13</t>
  </si>
  <si>
    <t>bojlery elektryczne</t>
  </si>
  <si>
    <t>węglowe+ bojlery elektryczne</t>
  </si>
  <si>
    <t>węglowe</t>
  </si>
  <si>
    <t>Ilość</t>
  </si>
  <si>
    <t>enegria elektryczna</t>
  </si>
  <si>
    <t>MWh</t>
  </si>
  <si>
    <t>GJ</t>
  </si>
  <si>
    <t>Emisja [MgCO2e]</t>
  </si>
  <si>
    <t>Zużycie</t>
  </si>
  <si>
    <t>Olej napędowy [l]</t>
  </si>
  <si>
    <t>Energia elektryczna w budynkach MZK [MWh]</t>
  </si>
  <si>
    <t>Olej opałowy w budynkach MZK [l]</t>
  </si>
  <si>
    <t>%</t>
  </si>
  <si>
    <t>% ocieplonych ścian, dachów oraz okien</t>
  </si>
  <si>
    <t>% ankiet do ilości budynków mieszkalnych</t>
  </si>
  <si>
    <t>%budynków ogrzewanych danym paliwem</t>
  </si>
  <si>
    <t>Zespół Szkolno - Przedszkolny nr 1 ul. Niemcewicza 50/56</t>
  </si>
  <si>
    <t>Zespół Przedszkolny - Przedszkole nr 3 ul. Kombatantów 5</t>
  </si>
  <si>
    <t>gaz, ciepło sieciowe</t>
  </si>
  <si>
    <t>Zespół Przedszkolny - Przedszkole nr 17 ul. Warszawska 103A</t>
  </si>
  <si>
    <t>Zespół Przedszkolny - Przedszkole nr 12 ul. Kombatantów 1/3</t>
  </si>
  <si>
    <t>2017 - modernizacja (brak szczegółów)</t>
  </si>
  <si>
    <t>Urząd Gminy Tomaszów Mazowiecki ul. Nowickiego 4</t>
  </si>
  <si>
    <t>% domów w których mieszkańcy planują inwestycje w OZE</t>
  </si>
  <si>
    <t>Ceramika Paradyż</t>
  </si>
  <si>
    <t>węgiel kamienny</t>
  </si>
  <si>
    <t>drewno/Biomasa</t>
  </si>
  <si>
    <t>suma ankiet</t>
  </si>
  <si>
    <t>suma ocieplonych ścian, dachów oraz okien</t>
  </si>
  <si>
    <t>powierzchnia ogrzewana w budynkach [m2]</t>
  </si>
  <si>
    <t>termoizolacja ścian</t>
  </si>
  <si>
    <t>termoizolacja okien</t>
  </si>
  <si>
    <t>termoizolacja dachu</t>
  </si>
  <si>
    <t>ogółem</t>
  </si>
  <si>
    <t>suma zużycia poszczególnych paliw</t>
  </si>
  <si>
    <t>emisja [MgCO2e]</t>
  </si>
  <si>
    <t>emisja CO2e [%]</t>
  </si>
  <si>
    <t>ekogroszek</t>
  </si>
  <si>
    <t>nośniki energii</t>
  </si>
  <si>
    <t>wartość opałowa [MJ/kg] / [MJ/m3]</t>
  </si>
  <si>
    <t xml:space="preserve">zużycie paliw </t>
  </si>
  <si>
    <t>jednostka</t>
  </si>
  <si>
    <t>ilość budynków</t>
  </si>
  <si>
    <t xml:space="preserve">ilość ankiet </t>
  </si>
  <si>
    <t>ilość anietowanych domów jednorodzinnych</t>
  </si>
  <si>
    <t>gaz ziemny</t>
  </si>
  <si>
    <t>rodzaje paliw w domach jednorodzinnych</t>
  </si>
  <si>
    <t>suma budynków ogrzewanych danym paliwem</t>
  </si>
  <si>
    <t>krajowe wskaźniki emisji [MgCO2e/MWh]</t>
  </si>
  <si>
    <t>drewno/biomasa</t>
  </si>
  <si>
    <t>średnie zużycie paliw</t>
  </si>
  <si>
    <t>źródła ciepła</t>
  </si>
  <si>
    <t>obiekty użyteczności publicznej</t>
  </si>
  <si>
    <t>emisja CO2e[%]</t>
  </si>
  <si>
    <t xml:space="preserve">energia elektryczna </t>
  </si>
  <si>
    <t xml:space="preserve">olej opałowy </t>
  </si>
  <si>
    <t xml:space="preserve">ciepło sieciowe </t>
  </si>
  <si>
    <t>uwagi</t>
  </si>
  <si>
    <t>zużycie paliw w 2014 r.</t>
  </si>
  <si>
    <t>zużycie energi elektrycznej w 2014 r. [kWh]</t>
  </si>
  <si>
    <t>plany modernizacji</t>
  </si>
  <si>
    <t>ocieplenie dachu [%]</t>
  </si>
  <si>
    <t>ocieplenie drzwi [%]</t>
  </si>
  <si>
    <t>ocieplenie okien [%]</t>
  </si>
  <si>
    <t>nazwa obiektu i adres</t>
  </si>
  <si>
    <t>powierzchnia użytkowa [m2]</t>
  </si>
  <si>
    <t>źródło ciepła</t>
  </si>
  <si>
    <t>sposób uzyskiwania ciepłej wody</t>
  </si>
  <si>
    <t>instalacji centralnego ogrzewania</t>
  </si>
  <si>
    <t>instalacji ciepłej wody użytkowej</t>
  </si>
  <si>
    <t>instalacji wentylacji</t>
  </si>
  <si>
    <t>okien</t>
  </si>
  <si>
    <t>drzwi</t>
  </si>
  <si>
    <t>ścian</t>
  </si>
  <si>
    <t>dachu</t>
  </si>
  <si>
    <t>stan techniczny (1-zły, 5 - b.dobry)</t>
  </si>
  <si>
    <t>rok</t>
  </si>
  <si>
    <t>rok pomiarów</t>
  </si>
  <si>
    <t>numer punktu pomiarowego</t>
  </si>
  <si>
    <t>numer drogi</t>
  </si>
  <si>
    <t>emisja [MgCO2e/rok]</t>
  </si>
  <si>
    <t>samochody osobowe, Mikrobusy</t>
  </si>
  <si>
    <t>suma zużycia paliw [l/rok]</t>
  </si>
  <si>
    <t>wartość opałowa paliw [MJ/kg]</t>
  </si>
  <si>
    <t>lekkie ciężarowe (dostawcze)</t>
  </si>
  <si>
    <t>autobusy</t>
  </si>
  <si>
    <t>ciężarowe</t>
  </si>
  <si>
    <t>ciągniki rolnicze</t>
  </si>
  <si>
    <t>średnioroczne zużycie paliw dla poszczególnych klas pojazdów [l/100km]</t>
  </si>
  <si>
    <t>motocykle</t>
  </si>
  <si>
    <t>pojazdy silnikowe ogółem</t>
  </si>
  <si>
    <t>długość [km]</t>
  </si>
  <si>
    <t>średnioroczny przebieg jednostkowy samochodu osobowego [km]</t>
  </si>
  <si>
    <t>pojazdy zarejestrowane na terenie gminy [szt.]</t>
  </si>
  <si>
    <t>ilość zużytego paliwa [l]</t>
  </si>
  <si>
    <t>zużycie paliw na 100 km</t>
  </si>
  <si>
    <t>zużycie paliw przez poszczególne rodzaje pojazdów [l/dobę]</t>
  </si>
  <si>
    <t xml:space="preserve">węgiel kamienny </t>
  </si>
  <si>
    <t>emisja CO2 [Mg/rok]</t>
  </si>
  <si>
    <t>procent budynków ogrzewanych danym paliwem</t>
  </si>
  <si>
    <t>zużycie gazu [m3]</t>
  </si>
  <si>
    <t>węgiel kamienny/biomasa/drewno</t>
  </si>
  <si>
    <t>węgiel kamienny/energia elektryczna</t>
  </si>
  <si>
    <t>węgiel kamienny [Mg]</t>
  </si>
  <si>
    <t>węgiel kamienny [t]</t>
  </si>
  <si>
    <t>energia elektryczna, węgiel kamienny, koks</t>
  </si>
  <si>
    <t>olej opałowy, węgiel kamienny</t>
  </si>
  <si>
    <t>gaz, węgiel kamienny</t>
  </si>
  <si>
    <t>ilość podmiotów gospodarczych</t>
  </si>
  <si>
    <t>zużycie</t>
  </si>
  <si>
    <t>Sposób wyliczenia zużycia paliw</t>
  </si>
  <si>
    <t>Krajowe wskaźniki emisji [MgCO2e/MWh]</t>
  </si>
  <si>
    <t>Gimnazjum nr 7 - hala sportowa ul. św. Antoniego 43/45</t>
  </si>
  <si>
    <t>Gimnazjum nr 7 ul. św. Antoniego 43/46</t>
  </si>
  <si>
    <t>Sanepid ul. św. Antoniego 24</t>
  </si>
  <si>
    <t>Starostwo Powiatowe ul. św. Antoniego 41</t>
  </si>
  <si>
    <t>Urząd Stanu Cywilnego ul. św. Antoniego 42</t>
  </si>
  <si>
    <t>Zespół Szkół Ponadgimnazjalnych im. Staszica ul. św. Antoniego 57/61</t>
  </si>
  <si>
    <t>Zespół Szkół Ponadgimnazjalnych im. Tadeusza Kościuszki ul. św. Antoniego 29</t>
  </si>
  <si>
    <t>transport lokalny oraz tranzyt</t>
  </si>
  <si>
    <t xml:space="preserve">eko-groszek </t>
  </si>
  <si>
    <t>energia elektryczna [MWh]</t>
  </si>
  <si>
    <t>oświetlenie dróg i przestrzeni publicznej</t>
  </si>
  <si>
    <t>sektor</t>
  </si>
  <si>
    <t>sektor transportu publicznego</t>
  </si>
  <si>
    <t>sektor przemysłowy oraz handlowo-usługowy</t>
  </si>
  <si>
    <t>sektor mieszkalny</t>
  </si>
  <si>
    <t>sektor obiektów użyteczności publicznej</t>
  </si>
  <si>
    <t xml:space="preserve">paliwa (olej napędowy, benzyna) </t>
  </si>
  <si>
    <t>paliwa (olej napędowy, benzyna)</t>
  </si>
  <si>
    <t>paliwa (olej napędowy, benzyna) [l]</t>
  </si>
  <si>
    <t xml:space="preserve">drewno/biomasa </t>
  </si>
  <si>
    <t>drewno/biomasa [Mg]</t>
  </si>
  <si>
    <t xml:space="preserve">gaz ziemny </t>
  </si>
  <si>
    <t>gaz ziemny [m3]</t>
  </si>
  <si>
    <t>ciepło sieciowe (zakład gospodarki ciepłowniczej - kotłowania ul. Wierzbowa)</t>
  </si>
  <si>
    <t>rodzaj nośnika energii</t>
  </si>
  <si>
    <t>Ludwikowska</t>
  </si>
  <si>
    <t>ocieplenie ścian</t>
  </si>
  <si>
    <t>ocieplenie okien</t>
  </si>
  <si>
    <t>ocieplenie dachu</t>
  </si>
  <si>
    <t>Ludwikowska 104</t>
  </si>
  <si>
    <t>Skłodowskiej - Curie 29</t>
  </si>
  <si>
    <t>Skłodowskiej - Curie 6</t>
  </si>
  <si>
    <t>Węglowe + bojlery elektryczne</t>
  </si>
  <si>
    <t>suma domów w których mieszkańcy planują inwestycje w OZE</t>
  </si>
  <si>
    <t>węgiel kamienny/biomasa/energia elektryczna</t>
  </si>
  <si>
    <t>średni powierzchnia domu [m2]</t>
  </si>
  <si>
    <t>liczba budynków ogółem w mieście ogrzewanych danym paliwem</t>
  </si>
  <si>
    <t>Zespól Szkół nr 4 ul. Warszawska 95/97</t>
  </si>
  <si>
    <t>Zespół Szkół nr 4 ul. Ostrowskiego 14</t>
  </si>
  <si>
    <t>SM Grota</t>
  </si>
  <si>
    <t>energia elektryczna {MWh}</t>
  </si>
  <si>
    <t>Oświatowe Przedszkole nr 8 ul. Stolarska 18/20</t>
  </si>
  <si>
    <t>Szkoła Podstawowa ul. Stolarska 21/27</t>
  </si>
  <si>
    <t>2016 - termomodernizacja budynku szkoły, modernizacja dachu</t>
  </si>
  <si>
    <t>ocieplenie ścian [%]</t>
  </si>
  <si>
    <t>koszt [zł]</t>
  </si>
  <si>
    <t>SM Nasza Chata</t>
  </si>
  <si>
    <t>ciepło sieciowe (spółdzielnia mieszkaniowa Przodownik -  kotłownia ul. Zawadzka)</t>
  </si>
  <si>
    <t>zużycie paliw (dane uzyskane z ankiet)</t>
  </si>
  <si>
    <t>przeliczenie na ilość domów jednorodzinnych + zużycie paliwa uzyskane z ankiet</t>
  </si>
  <si>
    <t>Zużycie oleju napędowego [l]</t>
  </si>
  <si>
    <t>% redukcji emisji spalin</t>
  </si>
  <si>
    <t>Oszczędności paliwa [l]</t>
  </si>
  <si>
    <t>Redukcja kosztów  [zł]</t>
  </si>
  <si>
    <t>Tomaszowskie TBS Sp. z o.o.</t>
  </si>
  <si>
    <t>wykorzystanie ciepła sieciowego</t>
  </si>
  <si>
    <t xml:space="preserve">suma [MgCO2e] - rok bazowy 2014 </t>
  </si>
  <si>
    <t>prognozowane zużycie według scenariusza pasywnego w 2020 r.</t>
  </si>
  <si>
    <t>emisje CO2e - scenariusz pasywny</t>
  </si>
  <si>
    <t>Scenariusz pasywny</t>
  </si>
  <si>
    <t>Scenariusz umiarkowany</t>
  </si>
  <si>
    <t>Scenariusz aktywny</t>
  </si>
  <si>
    <t>procent emisji w 2020 r. w stosunku do roku bazowego 2014</t>
  </si>
  <si>
    <t>suma [MgCO2e]</t>
  </si>
  <si>
    <t xml:space="preserve">emisja [MgCO2e] - rok bazowy 2014 </t>
  </si>
  <si>
    <t>prognozowane zużycie według scenariusza umiarkowanego w 2020 r.</t>
  </si>
  <si>
    <t>emisje CO2e - scenariusz umiarkowany</t>
  </si>
  <si>
    <t>prognozowane zużycie według scenariusza aktywnego w 2020 r.</t>
  </si>
  <si>
    <t>emisje CO2e - scenariusz aktywny</t>
  </si>
  <si>
    <t>krajowe wskaźniki emisji [kg/MWh]</t>
  </si>
  <si>
    <t>emisja [kg/MWh]</t>
  </si>
  <si>
    <t>emisja [%]</t>
  </si>
  <si>
    <t>emisja pyłu [%]</t>
  </si>
  <si>
    <t>Emisje pyłu - scenariusz aktywny</t>
  </si>
  <si>
    <t>Emisje benzoapirenu - scenariusz aktywny</t>
  </si>
  <si>
    <t>emisja pyłu [kg]</t>
  </si>
  <si>
    <t>Transport lokalny - emisja pyłu</t>
  </si>
  <si>
    <t>Krajowe wskaźniki emisji [kg/MWh]</t>
  </si>
  <si>
    <t>emisja [kg]</t>
  </si>
  <si>
    <t>emisje pyłu - scenariusz aktywny</t>
  </si>
  <si>
    <t>Emisja pył [kg]</t>
  </si>
  <si>
    <t>% redukcji emisji</t>
  </si>
  <si>
    <t>Emisja CO2</t>
  </si>
  <si>
    <t xml:space="preserve">suma [kg] - rok bazowy 2014 </t>
  </si>
  <si>
    <t>Emisje - pył - scenariusz aktywny</t>
  </si>
  <si>
    <t>Emisje - benzoapiren- scenariusz aktywny</t>
  </si>
  <si>
    <t>Emisja - pył - scenariusz aktywny</t>
  </si>
  <si>
    <t>Emisja pył</t>
  </si>
  <si>
    <t>suma [kg]</t>
  </si>
  <si>
    <t xml:space="preserve">emisja [kg] - rok bazowy 2014 </t>
  </si>
  <si>
    <t>Transport lokalny - emisja pyłu - scenariusz aktywny</t>
  </si>
  <si>
    <t>wartość opałowa [MJ/g] / [MJ/m3]</t>
  </si>
  <si>
    <t>krajowe wskaźniki emisji [g/jednostka zużycia paliwa]</t>
  </si>
  <si>
    <t>emisja [g]</t>
  </si>
  <si>
    <t>emisja benzoapirenu [%]</t>
  </si>
  <si>
    <t>emisja [g/jednostka zużycia paliwa]</t>
  </si>
  <si>
    <t>Krajowe wskaźniki emisji [g/jednostka zużycia paliwa]</t>
  </si>
  <si>
    <t xml:space="preserve">suma [g] - rok bazowy 2014 </t>
  </si>
  <si>
    <t>suma [g]</t>
  </si>
  <si>
    <t xml:space="preserve">emisja [g] - rok bazowy 2014 </t>
  </si>
  <si>
    <t>emisje benzoapirenu - scenariusz aktywny</t>
  </si>
  <si>
    <t>emisja benzoapirenu [g]</t>
  </si>
  <si>
    <t>krajowe wskaźniki emisji benzoapirenu [g]</t>
  </si>
  <si>
    <t>Założenia</t>
  </si>
  <si>
    <t>Inwestycje w OZE - zmniejszenie wykorzystywania nośników energii</t>
  </si>
  <si>
    <t>Inwestycje w termomodernizacje - zmniejszenie zapotrzebowania na ciepło dla budynków użyteczności publicznej, sektora mieszkaniowego oraz przemysłu i usług</t>
  </si>
  <si>
    <t>Inwestycje w modernizacje taboru MZK w Tomaszowie Mazowieckim - wielkość modernizacji taboru [%]</t>
  </si>
  <si>
    <t>Rozbudowa miejskiej sieci ciepłowniczej - większe zużycie ciepła sieciowego</t>
  </si>
  <si>
    <t>Rozbudowa sieci gazowej - zwiększenie żużycia gazu</t>
  </si>
  <si>
    <t>Modernizacje oświetlenia - wymiana na ledowe ze sterowaniem logicznym - zmniejszenie zużycia energii</t>
  </si>
  <si>
    <t>Zwiększenie udziału piecy z podajnikami na eko-groszek (tańszy oraz wygodniejszy sposób ogrzewania)</t>
  </si>
  <si>
    <t>Redukcja zużycia oleju opałowego oraz węgla kamiennego</t>
  </si>
  <si>
    <t>Liczba samochodów zarejestrowanych w mieście</t>
  </si>
  <si>
    <t>Prognoza demograficzna</t>
  </si>
  <si>
    <t xml:space="preserve">Wzrost gospodarczy </t>
  </si>
  <si>
    <t>sektor użyteczności publicznej</t>
  </si>
  <si>
    <t>sektor przemysłu oraz usług</t>
  </si>
  <si>
    <t>emisje CO2e - rok bazowy 2014</t>
  </si>
  <si>
    <t>emisje pyłu - rok bazowy 2014</t>
  </si>
  <si>
    <t>emisje benzoapirenu - rok bazowy 2014</t>
  </si>
  <si>
    <t>Scenariusz pasywny - emisje CO2e</t>
  </si>
  <si>
    <t>Scenariusz umiarkowany - emisje CO2e</t>
  </si>
  <si>
    <t>Scenariusz aktywny - emisje CO2e</t>
  </si>
  <si>
    <t>krajowe wskaźniki emisji pyłu [kg/MWh]</t>
  </si>
  <si>
    <t>krajowe wskaźniki emisji benzoapirenu [g/jednostka zużycia paliwa]</t>
  </si>
  <si>
    <t>Emisje pyłu - rok bazowy 2014</t>
  </si>
  <si>
    <t>Emisje benzoapirenu - rok bazowy 2014</t>
  </si>
  <si>
    <t>Transport lokalny - rok bazowy 2014 oraz scenariusz pasywny - emisje CO2e</t>
  </si>
  <si>
    <t>Transport lokalny - scenariusz umiarkowany - emisje CO2e</t>
  </si>
  <si>
    <t>Transport lokalny - scenariusz aktywny - emisje CO2e</t>
  </si>
  <si>
    <t>wskaźnik emisji CO2</t>
  </si>
  <si>
    <t>wskaźnik emisji beznoapirenu</t>
  </si>
  <si>
    <t>wskaźnik emisji pyłu [kg/m3]</t>
  </si>
  <si>
    <t>emisja [kg/l]</t>
  </si>
  <si>
    <t>suma emisji w danym roku [kg/m3]</t>
  </si>
  <si>
    <t>suma emisji w danym roku [MgCO2e/rok]</t>
  </si>
  <si>
    <t>suma emisji w danym roku [kg/MWh]</t>
  </si>
  <si>
    <t>brak danym</t>
  </si>
  <si>
    <t>wiek źródła ciepła [roku]</t>
  </si>
  <si>
    <t>Emisja - pył - rok bazowy 2014</t>
  </si>
  <si>
    <t>Emisja CO2e - rok bazowy 2014</t>
  </si>
  <si>
    <t>Emisja CO2 - rok bazowy 2014</t>
  </si>
  <si>
    <t>rok bazowy 2014 - emisje CO2e</t>
  </si>
  <si>
    <t>Emisja benzoapirenu [g]</t>
  </si>
  <si>
    <t>Emisje - beznoapiren</t>
  </si>
  <si>
    <t>Emisje - pył - rok bazowy 2014</t>
  </si>
  <si>
    <t>Emisje - benzoapiren - rok bazowy 2014</t>
  </si>
  <si>
    <t>zestawienia dotyczące emisji CO2</t>
  </si>
  <si>
    <t>zestawienia dotyczące emisji pyłów</t>
  </si>
  <si>
    <t>zestawienia dotyczące emisji benzoapirenu</t>
  </si>
  <si>
    <t>Objaśnienia kolorów nagłówków tabel</t>
  </si>
  <si>
    <t>Rodzaj nośnika energii</t>
  </si>
  <si>
    <r>
      <t>Gaz ziemny [m</t>
    </r>
    <r>
      <rPr>
        <vertAlign val="superscript"/>
        <sz val="11"/>
        <color theme="1"/>
        <rFont val="Times New Roman"/>
        <family val="1"/>
        <charset val="238"/>
      </rPr>
      <t>3</t>
    </r>
    <r>
      <rPr>
        <sz val="11"/>
        <color theme="1"/>
        <rFont val="Times New Roman"/>
        <family val="1"/>
        <charset val="238"/>
      </rPr>
      <t>]</t>
    </r>
  </si>
  <si>
    <t>Węgiel [Mg]</t>
  </si>
  <si>
    <t>Eko-groszek [Mg]</t>
  </si>
  <si>
    <t>Paliwa (olej napędowy, benzyna) [l]</t>
  </si>
  <si>
    <t>Olej opałowy [l]</t>
  </si>
  <si>
    <t>Drewno/biomasa [Mg]</t>
  </si>
  <si>
    <t>Energia elektryczna [MWh]</t>
  </si>
  <si>
    <t>Ciepło sieciowe [GJ]</t>
  </si>
  <si>
    <t>energia finalna [MWh]</t>
  </si>
  <si>
    <t>energia finalna [%]</t>
  </si>
  <si>
    <t>energia finalna po modernizacjach [MWh]</t>
  </si>
  <si>
    <t>energia finalna [MWh] - rok bazowy 2014</t>
  </si>
  <si>
    <t xml:space="preserve">energia finalna [MWh] - rok bazowy 2014 </t>
  </si>
  <si>
    <t>energia finalna [MWh] - prognoza rok 2020</t>
  </si>
  <si>
    <t xml:space="preserve">  energia finalna [%]</t>
  </si>
  <si>
    <t xml:space="preserve">  energia [%]</t>
  </si>
  <si>
    <t>Energia finalna [MWh]</t>
  </si>
  <si>
    <t>Obliczenia emisji pyłu po modernizacji polegającej na zakupie 5 autobusów hybrydowych w ramach realizacji projektu pod nazwą: „Niskoemisyjne autobusy hybrydowe wraz z zapleczem technicznym do ich obsługi elementami nowoczesnego systemu transportu zbiorowego w Tomaszowie Mazowieckim”.</t>
  </si>
  <si>
    <t>Obliczenia emisji CO2 po modernizacji polegającej na zakupie 5 autobusów hybrydowych w ramach realizacji projektu pod nazwą: „Niskoemisyjne autobusy hybrydowe wraz z zapleczem technicznym do ich obsługi elementami nowoczesnego systemu transportu zbiorowego w Tomaszowie Mazowieckim”.</t>
  </si>
  <si>
    <t xml:space="preserve">Wariant I - modernizacja floty w 60 % </t>
  </si>
  <si>
    <t>Obliczenia emisji po modernizacji taboru - zakup 20 autobusów hybrydowych (dla MZK)</t>
  </si>
  <si>
    <t xml:space="preserve">Wariant I - modernizacja floty w 51% </t>
  </si>
</sst>
</file>

<file path=xl/styles.xml><?xml version="1.0" encoding="utf-8"?>
<styleSheet xmlns="http://schemas.openxmlformats.org/spreadsheetml/2006/main">
  <numFmts count="5">
    <numFmt numFmtId="43" formatCode="_-* #,##0.00\ _z_ł_-;\-* #,##0.00\ _z_ł_-;_-* &quot;-&quot;??\ _z_ł_-;_-@_-"/>
    <numFmt numFmtId="164" formatCode="_-* #,##0\ _z_ł_-;\-* #,##0\ _z_ł_-;_-* &quot;-&quot;??\ _z_ł_-;_-@_-"/>
    <numFmt numFmtId="165" formatCode="_-* #,##0.000\ _z_ł_-;\-* #,##0.000\ _z_ł_-;_-* &quot;-&quot;??\ _z_ł_-;_-@_-"/>
    <numFmt numFmtId="166" formatCode="_-* #,##0.0000\ _z_ł_-;\-* #,##0.0000\ _z_ł_-;_-* &quot;-&quot;??\ _z_ł_-;_-@_-"/>
    <numFmt numFmtId="167" formatCode="_-* #,##0.00000\ _z_ł_-;\-* #,##0.00000\ _z_ł_-;_-* &quot;-&quot;??\ _z_ł_-;_-@_-"/>
  </numFmts>
  <fonts count="28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vertAlign val="superscript"/>
      <sz val="12"/>
      <color theme="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sz val="10"/>
      <color theme="1"/>
      <name val="Times New Roman"/>
      <family val="1"/>
      <charset val="238"/>
    </font>
    <font>
      <sz val="10"/>
      <color rgb="FF00000A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16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2"/>
      <name val="Times New Roman"/>
      <family val="1"/>
      <charset val="238"/>
    </font>
    <font>
      <sz val="11"/>
      <name val="Czcionka tekstu podstawowego"/>
      <family val="2"/>
      <charset val="238"/>
    </font>
    <font>
      <sz val="14"/>
      <color theme="1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0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1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3" fontId="10" fillId="0" borderId="2" xfId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43" fontId="10" fillId="0" borderId="2" xfId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43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3" fontId="10" fillId="0" borderId="10" xfId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43" fontId="10" fillId="0" borderId="10" xfId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43" fontId="10" fillId="0" borderId="0" xfId="1" applyFont="1" applyAlignment="1">
      <alignment horizontal="center" vertical="center"/>
    </xf>
    <xf numFmtId="43" fontId="10" fillId="0" borderId="20" xfId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43" fontId="10" fillId="0" borderId="0" xfId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3" fontId="10" fillId="0" borderId="0" xfId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3" fontId="10" fillId="0" borderId="0" xfId="1" applyFont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43" fontId="12" fillId="0" borderId="0" xfId="1" applyFont="1" applyAlignment="1">
      <alignment horizontal="center" vertical="center"/>
    </xf>
    <xf numFmtId="43" fontId="12" fillId="0" borderId="0" xfId="1" applyFont="1" applyBorder="1" applyAlignment="1">
      <alignment horizontal="center" vertical="center"/>
    </xf>
    <xf numFmtId="43" fontId="12" fillId="0" borderId="0" xfId="1" applyFont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2" fontId="12" fillId="0" borderId="0" xfId="0" applyNumberFormat="1" applyFont="1" applyAlignment="1">
      <alignment horizontal="center" vertical="center"/>
    </xf>
    <xf numFmtId="43" fontId="1" fillId="0" borderId="0" xfId="1" applyFont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wrapText="1"/>
    </xf>
    <xf numFmtId="43" fontId="10" fillId="0" borderId="33" xfId="1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43" fontId="10" fillId="0" borderId="14" xfId="1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43" fontId="10" fillId="0" borderId="41" xfId="1" applyFont="1" applyBorder="1" applyAlignment="1">
      <alignment horizontal="center" vertical="center"/>
    </xf>
    <xf numFmtId="43" fontId="10" fillId="0" borderId="22" xfId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43" fontId="10" fillId="0" borderId="1" xfId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164" fontId="20" fillId="0" borderId="0" xfId="1" applyNumberFormat="1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43" fontId="10" fillId="0" borderId="0" xfId="1" applyFont="1" applyFill="1" applyAlignment="1">
      <alignment horizontal="center" vertical="center"/>
    </xf>
    <xf numFmtId="43" fontId="10" fillId="0" borderId="0" xfId="1" applyFont="1" applyFill="1" applyAlignment="1">
      <alignment horizontal="center" vertical="center" wrapText="1"/>
    </xf>
    <xf numFmtId="0" fontId="1" fillId="0" borderId="0" xfId="1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3" fontId="1" fillId="6" borderId="0" xfId="1" applyFont="1" applyFill="1" applyAlignment="1">
      <alignment horizontal="center" vertical="center"/>
    </xf>
    <xf numFmtId="43" fontId="1" fillId="6" borderId="1" xfId="1" applyFont="1" applyFill="1" applyBorder="1" applyAlignment="1">
      <alignment horizontal="center" vertical="center"/>
    </xf>
    <xf numFmtId="165" fontId="1" fillId="6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0" fontId="1" fillId="6" borderId="1" xfId="1" applyNumberFormat="1" applyFont="1" applyFill="1" applyBorder="1" applyAlignment="1">
      <alignment horizontal="center" vertical="center"/>
    </xf>
    <xf numFmtId="43" fontId="1" fillId="6" borderId="1" xfId="1" applyFont="1" applyFill="1" applyBorder="1" applyAlignment="1">
      <alignment horizontal="center" vertical="center" wrapText="1"/>
    </xf>
    <xf numFmtId="43" fontId="1" fillId="6" borderId="14" xfId="1" applyFont="1" applyFill="1" applyBorder="1" applyAlignment="1">
      <alignment horizontal="center" vertical="center"/>
    </xf>
    <xf numFmtId="2" fontId="1" fillId="6" borderId="14" xfId="1" applyNumberFormat="1" applyFont="1" applyFill="1" applyBorder="1" applyAlignment="1">
      <alignment horizontal="center" vertical="center"/>
    </xf>
    <xf numFmtId="43" fontId="7" fillId="6" borderId="53" xfId="1" applyNumberFormat="1" applyFont="1" applyFill="1" applyBorder="1" applyAlignment="1">
      <alignment horizontal="center" vertical="center"/>
    </xf>
    <xf numFmtId="43" fontId="7" fillId="6" borderId="54" xfId="1" applyFont="1" applyFill="1" applyBorder="1" applyAlignment="1">
      <alignment horizontal="center" vertical="center"/>
    </xf>
    <xf numFmtId="43" fontId="7" fillId="6" borderId="38" xfId="1" applyFont="1" applyFill="1" applyBorder="1" applyAlignment="1">
      <alignment horizontal="center" vertical="center"/>
    </xf>
    <xf numFmtId="43" fontId="7" fillId="6" borderId="55" xfId="1" applyFont="1" applyFill="1" applyBorder="1" applyAlignment="1">
      <alignment horizontal="center" vertical="center"/>
    </xf>
    <xf numFmtId="164" fontId="1" fillId="6" borderId="1" xfId="1" applyNumberFormat="1" applyFont="1" applyFill="1" applyBorder="1" applyAlignment="1">
      <alignment horizontal="center" vertical="center"/>
    </xf>
    <xf numFmtId="43" fontId="1" fillId="6" borderId="0" xfId="1" applyFont="1" applyFill="1" applyBorder="1" applyAlignment="1">
      <alignment horizontal="center" vertical="center"/>
    </xf>
    <xf numFmtId="43" fontId="24" fillId="6" borderId="0" xfId="1" applyFont="1" applyFill="1" applyAlignment="1">
      <alignment horizontal="center" vertical="center"/>
    </xf>
    <xf numFmtId="43" fontId="4" fillId="6" borderId="1" xfId="1" applyFont="1" applyFill="1" applyBorder="1" applyAlignment="1">
      <alignment horizontal="center" vertical="center" wrapText="1"/>
    </xf>
    <xf numFmtId="43" fontId="5" fillId="6" borderId="0" xfId="1" applyFont="1" applyFill="1" applyBorder="1" applyAlignment="1">
      <alignment horizontal="center" vertical="center" wrapText="1"/>
    </xf>
    <xf numFmtId="43" fontId="4" fillId="6" borderId="0" xfId="1" applyFont="1" applyFill="1" applyBorder="1" applyAlignment="1">
      <alignment horizontal="center" vertical="center" wrapText="1"/>
    </xf>
    <xf numFmtId="43" fontId="25" fillId="6" borderId="0" xfId="1" applyFont="1" applyFill="1" applyBorder="1" applyAlignment="1">
      <alignment horizontal="center" vertical="center" wrapText="1"/>
    </xf>
    <xf numFmtId="43" fontId="24" fillId="6" borderId="0" xfId="1" applyFont="1" applyFill="1" applyBorder="1" applyAlignment="1">
      <alignment horizontal="center" vertical="center"/>
    </xf>
    <xf numFmtId="43" fontId="1" fillId="6" borderId="2" xfId="1" applyFont="1" applyFill="1" applyBorder="1" applyAlignment="1">
      <alignment horizontal="center" vertical="center"/>
    </xf>
    <xf numFmtId="0" fontId="0" fillId="6" borderId="0" xfId="0" applyFill="1"/>
    <xf numFmtId="43" fontId="7" fillId="6" borderId="22" xfId="1" applyNumberFormat="1" applyFont="1" applyFill="1" applyBorder="1" applyAlignment="1">
      <alignment horizontal="center" vertical="center"/>
    </xf>
    <xf numFmtId="0" fontId="0" fillId="6" borderId="0" xfId="0" applyFill="1" applyBorder="1"/>
    <xf numFmtId="43" fontId="22" fillId="6" borderId="1" xfId="1" applyFont="1" applyFill="1" applyBorder="1" applyAlignment="1">
      <alignment horizontal="center" vertical="center"/>
    </xf>
    <xf numFmtId="165" fontId="22" fillId="6" borderId="1" xfId="1" applyNumberFormat="1" applyFont="1" applyFill="1" applyBorder="1" applyAlignment="1">
      <alignment horizontal="center" vertical="center"/>
    </xf>
    <xf numFmtId="2" fontId="22" fillId="6" borderId="1" xfId="1" applyNumberFormat="1" applyFont="1" applyFill="1" applyBorder="1" applyAlignment="1">
      <alignment horizontal="center" vertical="center"/>
    </xf>
    <xf numFmtId="43" fontId="22" fillId="6" borderId="1" xfId="1" applyFont="1" applyFill="1" applyBorder="1" applyAlignment="1">
      <alignment horizontal="center" vertical="center" wrapText="1"/>
    </xf>
    <xf numFmtId="43" fontId="22" fillId="6" borderId="14" xfId="1" applyFont="1" applyFill="1" applyBorder="1" applyAlignment="1">
      <alignment horizontal="center" vertical="center"/>
    </xf>
    <xf numFmtId="2" fontId="22" fillId="6" borderId="14" xfId="1" applyNumberFormat="1" applyFont="1" applyFill="1" applyBorder="1" applyAlignment="1">
      <alignment horizontal="center" vertical="center"/>
    </xf>
    <xf numFmtId="0" fontId="23" fillId="6" borderId="0" xfId="0" applyFont="1" applyFill="1"/>
    <xf numFmtId="166" fontId="1" fillId="6" borderId="1" xfId="1" applyNumberFormat="1" applyFont="1" applyFill="1" applyBorder="1" applyAlignment="1">
      <alignment horizontal="center" vertical="center"/>
    </xf>
    <xf numFmtId="167" fontId="1" fillId="6" borderId="1" xfId="1" applyNumberFormat="1" applyFont="1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/>
    </xf>
    <xf numFmtId="43" fontId="10" fillId="6" borderId="0" xfId="1" applyFont="1" applyFill="1" applyBorder="1" applyAlignment="1">
      <alignment horizontal="center" vertical="center"/>
    </xf>
    <xf numFmtId="43" fontId="10" fillId="6" borderId="0" xfId="1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10" fillId="6" borderId="0" xfId="0" applyFont="1" applyFill="1" applyAlignment="1">
      <alignment horizontal="center" vertical="center"/>
    </xf>
    <xf numFmtId="43" fontId="10" fillId="6" borderId="0" xfId="1" applyFont="1" applyFill="1" applyAlignment="1">
      <alignment horizontal="center" vertical="center"/>
    </xf>
    <xf numFmtId="0" fontId="18" fillId="6" borderId="52" xfId="0" applyFont="1" applyFill="1" applyBorder="1" applyAlignment="1">
      <alignment vertical="center" wrapText="1"/>
    </xf>
    <xf numFmtId="0" fontId="18" fillId="6" borderId="0" xfId="0" applyFont="1" applyFill="1" applyBorder="1" applyAlignment="1">
      <alignment vertical="center" wrapText="1"/>
    </xf>
    <xf numFmtId="0" fontId="18" fillId="6" borderId="47" xfId="0" applyFont="1" applyFill="1" applyBorder="1" applyAlignment="1">
      <alignment vertical="center" wrapText="1"/>
    </xf>
    <xf numFmtId="43" fontId="10" fillId="6" borderId="1" xfId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43" fontId="10" fillId="6" borderId="1" xfId="1" applyFont="1" applyFill="1" applyBorder="1" applyAlignment="1">
      <alignment horizontal="center" vertical="center" wrapText="1"/>
    </xf>
    <xf numFmtId="43" fontId="10" fillId="6" borderId="0" xfId="1" applyFont="1" applyFill="1" applyAlignment="1">
      <alignment horizontal="center" vertical="center" wrapText="1"/>
    </xf>
    <xf numFmtId="2" fontId="10" fillId="6" borderId="1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2" fontId="10" fillId="6" borderId="14" xfId="0" applyNumberFormat="1" applyFont="1" applyFill="1" applyBorder="1" applyAlignment="1">
      <alignment horizontal="center" vertical="center"/>
    </xf>
    <xf numFmtId="2" fontId="10" fillId="6" borderId="54" xfId="0" applyNumberFormat="1" applyFont="1" applyFill="1" applyBorder="1" applyAlignment="1">
      <alignment horizontal="center" vertical="center"/>
    </xf>
    <xf numFmtId="2" fontId="10" fillId="6" borderId="55" xfId="0" applyNumberFormat="1" applyFont="1" applyFill="1" applyBorder="1" applyAlignment="1">
      <alignment horizontal="center" vertical="center"/>
    </xf>
    <xf numFmtId="43" fontId="10" fillId="6" borderId="0" xfId="0" applyNumberFormat="1" applyFont="1" applyFill="1" applyAlignment="1">
      <alignment horizontal="center" vertical="center" wrapText="1"/>
    </xf>
    <xf numFmtId="43" fontId="10" fillId="6" borderId="1" xfId="0" applyNumberFormat="1" applyFont="1" applyFill="1" applyBorder="1" applyAlignment="1">
      <alignment horizontal="center" vertical="center"/>
    </xf>
    <xf numFmtId="43" fontId="10" fillId="6" borderId="14" xfId="0" applyNumberFormat="1" applyFont="1" applyFill="1" applyBorder="1" applyAlignment="1">
      <alignment horizontal="center" vertical="center"/>
    </xf>
    <xf numFmtId="43" fontId="10" fillId="6" borderId="14" xfId="1" applyNumberFormat="1" applyFont="1" applyFill="1" applyBorder="1" applyAlignment="1">
      <alignment horizontal="center" vertical="center"/>
    </xf>
    <xf numFmtId="43" fontId="10" fillId="6" borderId="54" xfId="0" applyNumberFormat="1" applyFont="1" applyFill="1" applyBorder="1" applyAlignment="1">
      <alignment horizontal="center" vertical="center" wrapText="1"/>
    </xf>
    <xf numFmtId="43" fontId="10" fillId="6" borderId="55" xfId="0" applyNumberFormat="1" applyFont="1" applyFill="1" applyBorder="1" applyAlignment="1">
      <alignment horizontal="center" vertical="center" wrapText="1"/>
    </xf>
    <xf numFmtId="0" fontId="6" fillId="6" borderId="0" xfId="1" applyNumberFormat="1" applyFont="1" applyFill="1" applyAlignment="1">
      <alignment horizontal="center" vertical="center"/>
    </xf>
    <xf numFmtId="0" fontId="1" fillId="6" borderId="0" xfId="1" applyNumberFormat="1" applyFont="1" applyFill="1" applyAlignment="1">
      <alignment horizontal="center" vertical="center"/>
    </xf>
    <xf numFmtId="0" fontId="1" fillId="6" borderId="1" xfId="1" applyNumberFormat="1" applyFont="1" applyFill="1" applyBorder="1" applyAlignment="1">
      <alignment horizontal="center" vertical="center" wrapText="1"/>
    </xf>
    <xf numFmtId="0" fontId="1" fillId="6" borderId="0" xfId="1" applyNumberFormat="1" applyFont="1" applyFill="1" applyBorder="1" applyAlignment="1">
      <alignment horizontal="center" vertical="center"/>
    </xf>
    <xf numFmtId="43" fontId="1" fillId="6" borderId="0" xfId="1" applyNumberFormat="1" applyFont="1" applyFill="1" applyAlignment="1">
      <alignment horizontal="center" vertical="center"/>
    </xf>
    <xf numFmtId="43" fontId="6" fillId="6" borderId="0" xfId="1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3" fontId="7" fillId="6" borderId="53" xfId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43" fontId="1" fillId="6" borderId="1" xfId="0" applyNumberFormat="1" applyFont="1" applyFill="1" applyBorder="1" applyAlignment="1">
      <alignment horizontal="center" vertical="center"/>
    </xf>
    <xf numFmtId="165" fontId="1" fillId="6" borderId="60" xfId="1" applyNumberFormat="1" applyFont="1" applyFill="1" applyBorder="1" applyAlignment="1">
      <alignment horizontal="center" vertical="center"/>
    </xf>
    <xf numFmtId="43" fontId="1" fillId="6" borderId="56" xfId="1" applyFont="1" applyFill="1" applyBorder="1" applyAlignment="1">
      <alignment horizontal="center" vertical="center"/>
    </xf>
    <xf numFmtId="166" fontId="1" fillId="6" borderId="60" xfId="1" applyNumberFormat="1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167" fontId="1" fillId="6" borderId="60" xfId="1" applyNumberFormat="1" applyFont="1" applyFill="1" applyBorder="1" applyAlignment="1">
      <alignment horizontal="center" vertical="center"/>
    </xf>
    <xf numFmtId="43" fontId="1" fillId="6" borderId="0" xfId="0" applyNumberFormat="1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3" fontId="1" fillId="6" borderId="0" xfId="0" applyNumberFormat="1" applyFont="1" applyFill="1" applyBorder="1" applyAlignment="1">
      <alignment horizontal="center" vertical="center"/>
    </xf>
    <xf numFmtId="43" fontId="1" fillId="6" borderId="56" xfId="1" applyFont="1" applyFill="1" applyBorder="1" applyAlignment="1">
      <alignment horizontal="center" vertical="center" wrapText="1"/>
    </xf>
    <xf numFmtId="43" fontId="1" fillId="6" borderId="1" xfId="1" applyFont="1" applyFill="1" applyBorder="1" applyAlignment="1" applyProtection="1">
      <alignment horizontal="center" vertical="center"/>
      <protection locked="0"/>
    </xf>
    <xf numFmtId="43" fontId="1" fillId="6" borderId="0" xfId="1" applyFont="1" applyFill="1" applyBorder="1" applyAlignment="1" applyProtection="1">
      <alignment horizontal="center" vertical="center"/>
      <protection locked="0"/>
    </xf>
    <xf numFmtId="43" fontId="1" fillId="6" borderId="0" xfId="0" applyNumberFormat="1" applyFont="1" applyFill="1" applyAlignment="1">
      <alignment horizontal="center" vertical="center"/>
    </xf>
    <xf numFmtId="165" fontId="1" fillId="6" borderId="61" xfId="1" applyNumberFormat="1" applyFont="1" applyFill="1" applyBorder="1" applyAlignment="1">
      <alignment horizontal="center" vertical="center"/>
    </xf>
    <xf numFmtId="43" fontId="1" fillId="6" borderId="57" xfId="1" applyFont="1" applyFill="1" applyBorder="1" applyAlignment="1">
      <alignment horizontal="center" vertical="center" wrapText="1"/>
    </xf>
    <xf numFmtId="166" fontId="1" fillId="6" borderId="61" xfId="1" applyNumberFormat="1" applyFont="1" applyFill="1" applyBorder="1" applyAlignment="1">
      <alignment horizontal="center" vertical="center"/>
    </xf>
    <xf numFmtId="0" fontId="1" fillId="6" borderId="0" xfId="0" applyNumberFormat="1" applyFont="1" applyFill="1" applyBorder="1" applyAlignment="1" applyProtection="1">
      <alignment horizontal="center" vertical="center"/>
      <protection locked="0"/>
    </xf>
    <xf numFmtId="43" fontId="1" fillId="6" borderId="0" xfId="1" applyFont="1" applyFill="1" applyBorder="1" applyAlignment="1">
      <alignment horizontal="center" vertical="center" wrapText="1"/>
    </xf>
    <xf numFmtId="43" fontId="7" fillId="6" borderId="0" xfId="1" applyFont="1" applyFill="1" applyBorder="1" applyAlignment="1">
      <alignment horizontal="center" vertical="center"/>
    </xf>
    <xf numFmtId="43" fontId="1" fillId="6" borderId="53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2" fillId="6" borderId="0" xfId="0" applyFont="1" applyFill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 wrapText="1"/>
    </xf>
    <xf numFmtId="43" fontId="12" fillId="6" borderId="1" xfId="1" applyFont="1" applyFill="1" applyBorder="1" applyAlignment="1">
      <alignment horizontal="center" vertical="center"/>
    </xf>
    <xf numFmtId="43" fontId="12" fillId="6" borderId="14" xfId="1" applyFont="1" applyFill="1" applyBorder="1" applyAlignment="1">
      <alignment horizontal="center" vertical="center"/>
    </xf>
    <xf numFmtId="43" fontId="12" fillId="6" borderId="54" xfId="0" applyNumberFormat="1" applyFont="1" applyFill="1" applyBorder="1" applyAlignment="1">
      <alignment horizontal="center" vertical="center"/>
    </xf>
    <xf numFmtId="43" fontId="12" fillId="6" borderId="55" xfId="0" applyNumberFormat="1" applyFont="1" applyFill="1" applyBorder="1" applyAlignment="1">
      <alignment horizontal="center" vertical="center"/>
    </xf>
    <xf numFmtId="0" fontId="0" fillId="6" borderId="1" xfId="0" applyFill="1" applyBorder="1"/>
    <xf numFmtId="0" fontId="0" fillId="6" borderId="43" xfId="0" applyFill="1" applyBorder="1"/>
    <xf numFmtId="43" fontId="12" fillId="6" borderId="1" xfId="0" applyNumberFormat="1" applyFont="1" applyFill="1" applyBorder="1" applyAlignment="1">
      <alignment horizontal="center" vertical="center"/>
    </xf>
    <xf numFmtId="2" fontId="12" fillId="6" borderId="1" xfId="0" applyNumberFormat="1" applyFont="1" applyFill="1" applyBorder="1" applyAlignment="1">
      <alignment horizontal="center" vertical="center"/>
    </xf>
    <xf numFmtId="43" fontId="12" fillId="6" borderId="0" xfId="0" applyNumberFormat="1" applyFont="1" applyFill="1" applyAlignment="1">
      <alignment horizontal="center" vertical="center"/>
    </xf>
    <xf numFmtId="0" fontId="12" fillId="6" borderId="0" xfId="0" applyFont="1" applyFill="1" applyBorder="1" applyAlignment="1">
      <alignment vertical="center" wrapText="1"/>
    </xf>
    <xf numFmtId="0" fontId="12" fillId="6" borderId="0" xfId="0" applyFont="1" applyFill="1" applyBorder="1" applyAlignment="1">
      <alignment horizontal="center" vertical="center"/>
    </xf>
    <xf numFmtId="43" fontId="12" fillId="6" borderId="0" xfId="0" applyNumberFormat="1" applyFont="1" applyFill="1" applyBorder="1" applyAlignment="1">
      <alignment horizontal="center" vertical="center"/>
    </xf>
    <xf numFmtId="43" fontId="12" fillId="6" borderId="0" xfId="1" applyFont="1" applyFill="1" applyBorder="1" applyAlignment="1">
      <alignment horizontal="center" vertical="center" wrapText="1"/>
    </xf>
    <xf numFmtId="2" fontId="12" fillId="6" borderId="0" xfId="0" applyNumberFormat="1" applyFont="1" applyFill="1" applyAlignment="1">
      <alignment horizontal="center" vertical="center"/>
    </xf>
    <xf numFmtId="43" fontId="12" fillId="6" borderId="0" xfId="1" applyFont="1" applyFill="1" applyAlignment="1">
      <alignment horizontal="center" vertical="center"/>
    </xf>
    <xf numFmtId="43" fontId="12" fillId="6" borderId="0" xfId="1" applyFont="1" applyFill="1" applyBorder="1" applyAlignment="1">
      <alignment horizontal="center" vertical="center"/>
    </xf>
    <xf numFmtId="0" fontId="12" fillId="6" borderId="0" xfId="0" applyFont="1" applyFill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43" fontId="12" fillId="6" borderId="2" xfId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 wrapText="1"/>
    </xf>
    <xf numFmtId="43" fontId="13" fillId="6" borderId="1" xfId="1" applyFont="1" applyFill="1" applyBorder="1" applyAlignment="1">
      <alignment horizontal="center" vertical="center" wrapText="1"/>
    </xf>
    <xf numFmtId="43" fontId="12" fillId="6" borderId="0" xfId="0" applyNumberFormat="1" applyFont="1" applyFill="1" applyAlignment="1">
      <alignment horizontal="center" vertical="center" wrapText="1"/>
    </xf>
    <xf numFmtId="43" fontId="12" fillId="6" borderId="1" xfId="1" applyFont="1" applyFill="1" applyBorder="1" applyAlignment="1">
      <alignment horizontal="center" vertical="center" wrapText="1"/>
    </xf>
    <xf numFmtId="43" fontId="12" fillId="6" borderId="1" xfId="0" applyNumberFormat="1" applyFont="1" applyFill="1" applyBorder="1" applyAlignment="1">
      <alignment horizontal="center" vertical="center" wrapText="1"/>
    </xf>
    <xf numFmtId="4" fontId="12" fillId="6" borderId="1" xfId="0" applyNumberFormat="1" applyFont="1" applyFill="1" applyBorder="1" applyAlignment="1">
      <alignment horizontal="center"/>
    </xf>
    <xf numFmtId="43" fontId="12" fillId="6" borderId="14" xfId="1" applyFont="1" applyFill="1" applyBorder="1" applyAlignment="1">
      <alignment horizontal="center" vertical="center" wrapText="1"/>
    </xf>
    <xf numFmtId="43" fontId="12" fillId="6" borderId="53" xfId="0" applyNumberFormat="1" applyFont="1" applyFill="1" applyBorder="1" applyAlignment="1">
      <alignment horizontal="center" vertical="center" wrapText="1"/>
    </xf>
    <xf numFmtId="43" fontId="12" fillId="6" borderId="14" xfId="0" applyNumberFormat="1" applyFont="1" applyFill="1" applyBorder="1" applyAlignment="1">
      <alignment horizontal="center" vertical="center" wrapText="1"/>
    </xf>
    <xf numFmtId="4" fontId="12" fillId="6" borderId="14" xfId="0" applyNumberFormat="1" applyFont="1" applyFill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1" fillId="6" borderId="0" xfId="0" applyFont="1" applyFill="1" applyBorder="1" applyAlignment="1">
      <alignment horizontal="center"/>
    </xf>
    <xf numFmtId="4" fontId="12" fillId="6" borderId="5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 vertical="center" wrapText="1"/>
    </xf>
    <xf numFmtId="0" fontId="18" fillId="6" borderId="0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2" fontId="12" fillId="6" borderId="1" xfId="0" applyNumberFormat="1" applyFont="1" applyFill="1" applyBorder="1" applyAlignment="1">
      <alignment horizontal="center" vertical="center" wrapText="1"/>
    </xf>
    <xf numFmtId="43" fontId="12" fillId="6" borderId="62" xfId="0" applyNumberFormat="1" applyFont="1" applyFill="1" applyBorder="1" applyAlignment="1">
      <alignment horizontal="center" vertical="center" wrapText="1"/>
    </xf>
    <xf numFmtId="43" fontId="12" fillId="6" borderId="63" xfId="0" applyNumberFormat="1" applyFont="1" applyFill="1" applyBorder="1" applyAlignment="1">
      <alignment horizontal="center" vertical="center" wrapText="1"/>
    </xf>
    <xf numFmtId="43" fontId="12" fillId="6" borderId="0" xfId="0" applyNumberFormat="1" applyFont="1" applyFill="1" applyBorder="1" applyAlignment="1">
      <alignment horizontal="center" vertical="center" wrapText="1"/>
    </xf>
    <xf numFmtId="4" fontId="13" fillId="6" borderId="1" xfId="0" applyNumberFormat="1" applyFont="1" applyFill="1" applyBorder="1" applyAlignment="1">
      <alignment horizontal="center" vertical="center" wrapText="1"/>
    </xf>
    <xf numFmtId="2" fontId="12" fillId="6" borderId="0" xfId="0" applyNumberFormat="1" applyFont="1" applyFill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2" xfId="0" applyNumberFormat="1" applyFon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16" fontId="1" fillId="6" borderId="1" xfId="0" applyNumberFormat="1" applyFont="1" applyFill="1" applyBorder="1" applyAlignment="1">
      <alignment horizontal="center" vertical="center" wrapText="1"/>
    </xf>
    <xf numFmtId="0" fontId="1" fillId="6" borderId="30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" fillId="6" borderId="10" xfId="0" applyNumberFormat="1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 wrapText="1"/>
    </xf>
    <xf numFmtId="0" fontId="1" fillId="6" borderId="0" xfId="0" applyNumberFormat="1" applyFont="1" applyFill="1" applyAlignment="1">
      <alignment horizontal="center" vertical="center"/>
    </xf>
    <xf numFmtId="0" fontId="1" fillId="6" borderId="28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6" borderId="28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/>
    </xf>
    <xf numFmtId="0" fontId="1" fillId="6" borderId="0" xfId="0" applyNumberFormat="1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/>
    </xf>
    <xf numFmtId="2" fontId="1" fillId="6" borderId="25" xfId="0" applyNumberFormat="1" applyFont="1" applyFill="1" applyBorder="1" applyAlignment="1">
      <alignment horizontal="center" vertical="center"/>
    </xf>
    <xf numFmtId="2" fontId="1" fillId="6" borderId="29" xfId="0" applyNumberFormat="1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" fillId="6" borderId="12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2" fontId="0" fillId="6" borderId="2" xfId="0" applyNumberFormat="1" applyFill="1" applyBorder="1" applyAlignment="1">
      <alignment horizontal="center" vertical="center"/>
    </xf>
    <xf numFmtId="2" fontId="0" fillId="6" borderId="13" xfId="0" applyNumberForma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2" fontId="1" fillId="6" borderId="10" xfId="0" applyNumberFormat="1" applyFont="1" applyFill="1" applyBorder="1" applyAlignment="1">
      <alignment horizontal="center" vertical="center"/>
    </xf>
    <xf numFmtId="2" fontId="0" fillId="6" borderId="10" xfId="0" applyNumberFormat="1" applyFill="1" applyBorder="1" applyAlignment="1">
      <alignment horizontal="center" vertical="center"/>
    </xf>
    <xf numFmtId="2" fontId="0" fillId="6" borderId="11" xfId="0" applyNumberForma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16" fontId="0" fillId="6" borderId="33" xfId="0" applyNumberFormat="1" applyFill="1" applyBorder="1" applyAlignment="1">
      <alignment horizontal="center" vertical="center"/>
    </xf>
    <xf numFmtId="0" fontId="0" fillId="6" borderId="34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40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164" fontId="20" fillId="6" borderId="1" xfId="1" applyNumberFormat="1" applyFont="1" applyFill="1" applyBorder="1" applyAlignment="1">
      <alignment horizontal="center" vertical="center"/>
    </xf>
    <xf numFmtId="0" fontId="20" fillId="6" borderId="8" xfId="0" applyFont="1" applyFill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0" fontId="20" fillId="6" borderId="10" xfId="0" applyFont="1" applyFill="1" applyBorder="1" applyAlignment="1">
      <alignment horizontal="center" vertical="center"/>
    </xf>
    <xf numFmtId="164" fontId="20" fillId="6" borderId="10" xfId="1" applyNumberFormat="1" applyFont="1" applyFill="1" applyBorder="1" applyAlignment="1">
      <alignment horizontal="center" vertical="center"/>
    </xf>
    <xf numFmtId="0" fontId="20" fillId="6" borderId="11" xfId="0" applyFont="1" applyFill="1" applyBorder="1" applyAlignment="1">
      <alignment horizontal="center" vertical="center"/>
    </xf>
    <xf numFmtId="43" fontId="12" fillId="0" borderId="0" xfId="0" applyNumberFormat="1" applyFont="1" applyAlignment="1">
      <alignment horizontal="center" vertical="center"/>
    </xf>
    <xf numFmtId="0" fontId="20" fillId="6" borderId="6" xfId="0" applyFont="1" applyFill="1" applyBorder="1" applyAlignment="1">
      <alignment horizontal="center" vertical="center" wrapText="1"/>
    </xf>
    <xf numFmtId="0" fontId="20" fillId="6" borderId="8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horizontal="center" vertical="center"/>
    </xf>
    <xf numFmtId="0" fontId="20" fillId="6" borderId="7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horizontal="center" vertical="center" textRotation="90" wrapText="1"/>
    </xf>
    <xf numFmtId="0" fontId="20" fillId="6" borderId="1" xfId="0" applyFont="1" applyFill="1" applyBorder="1" applyAlignment="1">
      <alignment horizontal="center" vertical="center" textRotation="90" wrapText="1"/>
    </xf>
    <xf numFmtId="0" fontId="20" fillId="6" borderId="1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6" borderId="34" xfId="0" applyFont="1" applyFill="1" applyBorder="1" applyAlignment="1">
      <alignment horizontal="center" vertical="center" wrapText="1"/>
    </xf>
    <xf numFmtId="0" fontId="1" fillId="6" borderId="5" xfId="0" applyNumberFormat="1" applyFont="1" applyFill="1" applyBorder="1" applyAlignment="1">
      <alignment horizontal="center" vertical="center" wrapText="1"/>
    </xf>
    <xf numFmtId="0" fontId="1" fillId="6" borderId="33" xfId="0" applyNumberFormat="1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32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43" fontId="1" fillId="6" borderId="14" xfId="1" applyFont="1" applyFill="1" applyBorder="1" applyAlignment="1">
      <alignment horizontal="center" vertical="center" wrapText="1"/>
    </xf>
    <xf numFmtId="43" fontId="1" fillId="6" borderId="2" xfId="1" applyFont="1" applyFill="1" applyBorder="1" applyAlignment="1">
      <alignment horizontal="center" vertical="center" wrapText="1"/>
    </xf>
    <xf numFmtId="43" fontId="1" fillId="6" borderId="14" xfId="1" applyFont="1" applyFill="1" applyBorder="1" applyAlignment="1">
      <alignment horizontal="center" vertical="center"/>
    </xf>
    <xf numFmtId="43" fontId="1" fillId="6" borderId="2" xfId="1" applyFont="1" applyFill="1" applyBorder="1" applyAlignment="1">
      <alignment horizontal="center" vertical="center"/>
    </xf>
    <xf numFmtId="43" fontId="1" fillId="6" borderId="43" xfId="1" applyFont="1" applyFill="1" applyBorder="1" applyAlignment="1">
      <alignment horizontal="center" vertical="center" wrapText="1"/>
    </xf>
    <xf numFmtId="43" fontId="1" fillId="6" borderId="45" xfId="1" applyFont="1" applyFill="1" applyBorder="1" applyAlignment="1">
      <alignment horizontal="center" vertical="center" wrapText="1"/>
    </xf>
    <xf numFmtId="43" fontId="6" fillId="4" borderId="1" xfId="1" applyFont="1" applyFill="1" applyBorder="1" applyAlignment="1">
      <alignment horizontal="center" vertical="center"/>
    </xf>
    <xf numFmtId="43" fontId="22" fillId="6" borderId="14" xfId="1" applyFont="1" applyFill="1" applyBorder="1" applyAlignment="1">
      <alignment horizontal="center" vertical="center"/>
    </xf>
    <xf numFmtId="43" fontId="22" fillId="6" borderId="2" xfId="1" applyFont="1" applyFill="1" applyBorder="1" applyAlignment="1">
      <alignment horizontal="center" vertical="center"/>
    </xf>
    <xf numFmtId="43" fontId="22" fillId="6" borderId="14" xfId="1" applyFont="1" applyFill="1" applyBorder="1" applyAlignment="1">
      <alignment horizontal="center" vertical="center" wrapText="1"/>
    </xf>
    <xf numFmtId="43" fontId="22" fillId="6" borderId="2" xfId="1" applyFont="1" applyFill="1" applyBorder="1" applyAlignment="1">
      <alignment horizontal="center" vertical="center" wrapText="1"/>
    </xf>
    <xf numFmtId="43" fontId="6" fillId="3" borderId="1" xfId="1" applyFont="1" applyFill="1" applyBorder="1" applyAlignment="1">
      <alignment horizontal="center" vertical="center"/>
    </xf>
    <xf numFmtId="43" fontId="7" fillId="4" borderId="1" xfId="1" applyFont="1" applyFill="1" applyBorder="1" applyAlignment="1">
      <alignment horizontal="center" vertical="center"/>
    </xf>
    <xf numFmtId="43" fontId="22" fillId="6" borderId="43" xfId="1" applyFont="1" applyFill="1" applyBorder="1" applyAlignment="1">
      <alignment horizontal="center" vertical="center" wrapText="1"/>
    </xf>
    <xf numFmtId="43" fontId="22" fillId="6" borderId="45" xfId="1" applyFont="1" applyFill="1" applyBorder="1" applyAlignment="1">
      <alignment horizontal="center" vertical="center" wrapText="1"/>
    </xf>
    <xf numFmtId="43" fontId="1" fillId="6" borderId="1" xfId="1" applyFont="1" applyFill="1" applyBorder="1" applyAlignment="1">
      <alignment horizontal="center" vertical="center"/>
    </xf>
    <xf numFmtId="43" fontId="1" fillId="6" borderId="1" xfId="1" applyFont="1" applyFill="1" applyBorder="1" applyAlignment="1">
      <alignment horizontal="center" vertical="center" wrapText="1"/>
    </xf>
    <xf numFmtId="43" fontId="26" fillId="6" borderId="58" xfId="1" applyFont="1" applyFill="1" applyBorder="1" applyAlignment="1">
      <alignment horizontal="center" vertical="center" wrapText="1"/>
    </xf>
    <xf numFmtId="43" fontId="26" fillId="6" borderId="59" xfId="1" applyFont="1" applyFill="1" applyBorder="1" applyAlignment="1">
      <alignment horizontal="center" vertical="center" wrapText="1"/>
    </xf>
    <xf numFmtId="43" fontId="26" fillId="6" borderId="60" xfId="1" applyFont="1" applyFill="1" applyBorder="1" applyAlignment="1">
      <alignment horizontal="center" vertical="center" wrapText="1"/>
    </xf>
    <xf numFmtId="43" fontId="26" fillId="6" borderId="56" xfId="1" applyFont="1" applyFill="1" applyBorder="1" applyAlignment="1">
      <alignment horizontal="center" vertical="center" wrapText="1"/>
    </xf>
    <xf numFmtId="43" fontId="21" fillId="5" borderId="60" xfId="1" applyFont="1" applyFill="1" applyBorder="1" applyAlignment="1">
      <alignment horizontal="center" vertical="center"/>
    </xf>
    <xf numFmtId="43" fontId="21" fillId="5" borderId="56" xfId="1" applyFont="1" applyFill="1" applyBorder="1" applyAlignment="1">
      <alignment horizontal="center" vertical="center"/>
    </xf>
    <xf numFmtId="43" fontId="21" fillId="5" borderId="61" xfId="1" applyFont="1" applyFill="1" applyBorder="1" applyAlignment="1">
      <alignment horizontal="center" vertical="center"/>
    </xf>
    <xf numFmtId="43" fontId="21" fillId="5" borderId="57" xfId="1" applyFont="1" applyFill="1" applyBorder="1" applyAlignment="1">
      <alignment horizontal="center" vertical="center"/>
    </xf>
    <xf numFmtId="43" fontId="21" fillId="3" borderId="60" xfId="1" applyFont="1" applyFill="1" applyBorder="1" applyAlignment="1">
      <alignment horizontal="center" vertical="center"/>
    </xf>
    <xf numFmtId="43" fontId="21" fillId="3" borderId="56" xfId="1" applyFont="1" applyFill="1" applyBorder="1" applyAlignment="1">
      <alignment horizontal="center" vertical="center"/>
    </xf>
    <xf numFmtId="43" fontId="21" fillId="4" borderId="60" xfId="1" applyFont="1" applyFill="1" applyBorder="1" applyAlignment="1">
      <alignment horizontal="center" vertical="center"/>
    </xf>
    <xf numFmtId="43" fontId="21" fillId="4" borderId="56" xfId="1" applyFont="1" applyFill="1" applyBorder="1" applyAlignment="1">
      <alignment horizontal="center" vertical="center"/>
    </xf>
    <xf numFmtId="43" fontId="6" fillId="5" borderId="1" xfId="1" applyFont="1" applyFill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43" fontId="10" fillId="0" borderId="1" xfId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43" fontId="10" fillId="0" borderId="14" xfId="1" applyFont="1" applyBorder="1" applyAlignment="1">
      <alignment horizontal="center" vertical="center" wrapText="1"/>
    </xf>
    <xf numFmtId="43" fontId="10" fillId="0" borderId="42" xfId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43" fontId="10" fillId="0" borderId="33" xfId="1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8" fillId="4" borderId="46" xfId="0" applyFont="1" applyFill="1" applyBorder="1" applyAlignment="1">
      <alignment horizontal="center" vertical="center" wrapText="1"/>
    </xf>
    <xf numFmtId="0" fontId="18" fillId="4" borderId="47" xfId="0" applyFont="1" applyFill="1" applyBorder="1" applyAlignment="1">
      <alignment horizontal="center" vertical="center" wrapText="1"/>
    </xf>
    <xf numFmtId="0" fontId="18" fillId="4" borderId="48" xfId="0" applyFont="1" applyFill="1" applyBorder="1" applyAlignment="1">
      <alignment horizontal="center" vertical="center" wrapText="1"/>
    </xf>
    <xf numFmtId="0" fontId="18" fillId="4" borderId="49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50" xfId="0" applyFont="1" applyFill="1" applyBorder="1" applyAlignment="1">
      <alignment horizontal="center" vertical="center" wrapText="1"/>
    </xf>
    <xf numFmtId="0" fontId="18" fillId="4" borderId="51" xfId="0" applyFont="1" applyFill="1" applyBorder="1" applyAlignment="1">
      <alignment horizontal="center" vertical="center" wrapText="1"/>
    </xf>
    <xf numFmtId="0" fontId="18" fillId="5" borderId="46" xfId="0" applyFont="1" applyFill="1" applyBorder="1" applyAlignment="1">
      <alignment horizontal="center" vertical="center" wrapText="1"/>
    </xf>
    <xf numFmtId="0" fontId="18" fillId="5" borderId="47" xfId="0" applyFont="1" applyFill="1" applyBorder="1" applyAlignment="1">
      <alignment horizontal="center" vertical="center" wrapText="1"/>
    </xf>
    <xf numFmtId="0" fontId="18" fillId="5" borderId="48" xfId="0" applyFont="1" applyFill="1" applyBorder="1" applyAlignment="1">
      <alignment horizontal="center" vertical="center" wrapText="1"/>
    </xf>
    <xf numFmtId="0" fontId="18" fillId="5" borderId="49" xfId="0" applyFont="1" applyFill="1" applyBorder="1" applyAlignment="1">
      <alignment horizontal="center" vertical="center" wrapText="1"/>
    </xf>
    <xf numFmtId="0" fontId="18" fillId="5" borderId="50" xfId="0" applyFont="1" applyFill="1" applyBorder="1" applyAlignment="1">
      <alignment horizontal="center" vertical="center" wrapText="1"/>
    </xf>
    <xf numFmtId="0" fontId="18" fillId="5" borderId="51" xfId="0" applyFont="1" applyFill="1" applyBorder="1" applyAlignment="1">
      <alignment horizontal="center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 vertical="center" wrapText="1"/>
    </xf>
    <xf numFmtId="0" fontId="18" fillId="3" borderId="46" xfId="0" applyFont="1" applyFill="1" applyBorder="1" applyAlignment="1">
      <alignment horizontal="center" vertical="center" wrapText="1"/>
    </xf>
    <xf numFmtId="0" fontId="18" fillId="3" borderId="47" xfId="0" applyFont="1" applyFill="1" applyBorder="1" applyAlignment="1">
      <alignment horizontal="center" vertical="center" wrapText="1"/>
    </xf>
    <xf numFmtId="0" fontId="18" fillId="3" borderId="48" xfId="0" applyFont="1" applyFill="1" applyBorder="1" applyAlignment="1">
      <alignment horizontal="center" vertical="center" wrapText="1"/>
    </xf>
    <xf numFmtId="0" fontId="18" fillId="3" borderId="49" xfId="0" applyFont="1" applyFill="1" applyBorder="1" applyAlignment="1">
      <alignment horizontal="center" vertical="center" wrapText="1"/>
    </xf>
    <xf numFmtId="0" fontId="18" fillId="3" borderId="50" xfId="0" applyFont="1" applyFill="1" applyBorder="1" applyAlignment="1">
      <alignment horizontal="center" vertical="center" wrapText="1"/>
    </xf>
    <xf numFmtId="0" fontId="18" fillId="3" borderId="5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6" fillId="3" borderId="1" xfId="1" applyNumberFormat="1" applyFont="1" applyFill="1" applyBorder="1" applyAlignment="1">
      <alignment horizontal="center" vertical="center"/>
    </xf>
    <xf numFmtId="0" fontId="1" fillId="6" borderId="1" xfId="1" applyNumberFormat="1" applyFont="1" applyFill="1" applyBorder="1" applyAlignment="1">
      <alignment horizontal="center" vertical="center" wrapText="1"/>
    </xf>
    <xf numFmtId="0" fontId="1" fillId="6" borderId="1" xfId="1" applyNumberFormat="1" applyFont="1" applyFill="1" applyBorder="1" applyAlignment="1">
      <alignment horizontal="center" vertical="center"/>
    </xf>
    <xf numFmtId="0" fontId="6" fillId="6" borderId="36" xfId="1" applyNumberFormat="1" applyFont="1" applyFill="1" applyBorder="1" applyAlignment="1">
      <alignment horizontal="center" vertical="center"/>
    </xf>
    <xf numFmtId="0" fontId="6" fillId="6" borderId="39" xfId="1" applyNumberFormat="1" applyFont="1" applyFill="1" applyBorder="1" applyAlignment="1">
      <alignment horizontal="center" vertical="center"/>
    </xf>
    <xf numFmtId="0" fontId="6" fillId="6" borderId="37" xfId="1" applyNumberFormat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center" vertical="center"/>
    </xf>
    <xf numFmtId="43" fontId="1" fillId="6" borderId="58" xfId="1" applyFont="1" applyFill="1" applyBorder="1" applyAlignment="1">
      <alignment horizontal="center" vertical="center" wrapText="1"/>
    </xf>
    <xf numFmtId="43" fontId="1" fillId="6" borderId="59" xfId="1" applyFont="1" applyFill="1" applyBorder="1" applyAlignment="1">
      <alignment horizontal="center" vertical="center" wrapText="1"/>
    </xf>
    <xf numFmtId="43" fontId="1" fillId="6" borderId="60" xfId="1" applyFont="1" applyFill="1" applyBorder="1" applyAlignment="1">
      <alignment horizontal="center" vertical="center" wrapText="1"/>
    </xf>
    <xf numFmtId="43" fontId="1" fillId="6" borderId="56" xfId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8" fillId="3" borderId="43" xfId="0" applyFont="1" applyFill="1" applyBorder="1" applyAlignment="1">
      <alignment horizontal="center" vertical="center" wrapText="1"/>
    </xf>
    <xf numFmtId="0" fontId="18" fillId="3" borderId="44" xfId="0" applyFont="1" applyFill="1" applyBorder="1" applyAlignment="1">
      <alignment horizontal="center" vertical="center" wrapText="1"/>
    </xf>
    <xf numFmtId="0" fontId="18" fillId="3" borderId="45" xfId="0" applyFont="1" applyFill="1" applyBorder="1" applyAlignment="1">
      <alignment horizontal="center" vertical="center" wrapText="1"/>
    </xf>
    <xf numFmtId="0" fontId="18" fillId="4" borderId="43" xfId="0" applyFont="1" applyFill="1" applyBorder="1" applyAlignment="1">
      <alignment horizontal="center" vertical="center" wrapText="1"/>
    </xf>
    <xf numFmtId="0" fontId="18" fillId="4" borderId="44" xfId="0" applyFont="1" applyFill="1" applyBorder="1" applyAlignment="1">
      <alignment horizontal="center" vertical="center" wrapText="1"/>
    </xf>
    <xf numFmtId="0" fontId="18" fillId="4" borderId="45" xfId="0" applyFont="1" applyFill="1" applyBorder="1" applyAlignment="1">
      <alignment horizontal="center" vertical="center" wrapText="1"/>
    </xf>
    <xf numFmtId="0" fontId="18" fillId="5" borderId="43" xfId="0" applyFont="1" applyFill="1" applyBorder="1" applyAlignment="1">
      <alignment horizontal="center" vertical="center" wrapText="1"/>
    </xf>
    <xf numFmtId="0" fontId="18" fillId="5" borderId="44" xfId="0" applyFont="1" applyFill="1" applyBorder="1" applyAlignment="1">
      <alignment horizontal="center" vertical="center" wrapText="1"/>
    </xf>
    <xf numFmtId="0" fontId="18" fillId="5" borderId="45" xfId="0" applyFont="1" applyFill="1" applyBorder="1" applyAlignment="1">
      <alignment horizontal="center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Aspek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"/>
  <sheetViews>
    <sheetView zoomScale="85" zoomScaleNormal="85" workbookViewId="0">
      <selection activeCell="D12" sqref="D12"/>
    </sheetView>
  </sheetViews>
  <sheetFormatPr defaultRowHeight="12.75"/>
  <cols>
    <col min="1" max="1" width="23.5" style="59" customWidth="1"/>
    <col min="2" max="2" width="8.875" style="59" customWidth="1"/>
    <col min="3" max="3" width="7.875" style="59" customWidth="1"/>
    <col min="4" max="4" width="8.125" style="59" customWidth="1"/>
    <col min="5" max="5" width="13.5" style="59" customWidth="1"/>
    <col min="6" max="6" width="10.5" style="59" customWidth="1"/>
    <col min="7" max="7" width="11.125" style="59" customWidth="1"/>
    <col min="8" max="8" width="10.125" style="59" customWidth="1"/>
    <col min="9" max="9" width="9.5" style="59" customWidth="1"/>
    <col min="10" max="11" width="11.75" style="59" customWidth="1"/>
    <col min="12" max="12" width="12" style="59" customWidth="1"/>
    <col min="13" max="13" width="10.375" style="59" customWidth="1"/>
    <col min="14" max="14" width="9.5" style="59" customWidth="1"/>
    <col min="15" max="16384" width="9" style="59"/>
  </cols>
  <sheetData>
    <row r="1" spans="1:18" ht="120.75" customHeight="1" thickTop="1">
      <c r="A1" s="277" t="s">
        <v>632</v>
      </c>
      <c r="B1" s="279" t="s">
        <v>633</v>
      </c>
      <c r="C1" s="279"/>
      <c r="D1" s="279"/>
      <c r="E1" s="280" t="s">
        <v>634</v>
      </c>
      <c r="F1" s="280" t="s">
        <v>635</v>
      </c>
      <c r="G1" s="280" t="s">
        <v>636</v>
      </c>
      <c r="H1" s="280" t="s">
        <v>637</v>
      </c>
      <c r="I1" s="280" t="s">
        <v>638</v>
      </c>
      <c r="J1" s="280" t="s">
        <v>639</v>
      </c>
      <c r="K1" s="280" t="s">
        <v>640</v>
      </c>
      <c r="L1" s="280" t="s">
        <v>641</v>
      </c>
      <c r="M1" s="279" t="s">
        <v>642</v>
      </c>
      <c r="N1" s="275" t="s">
        <v>643</v>
      </c>
    </row>
    <row r="2" spans="1:18" ht="45.75" customHeight="1">
      <c r="A2" s="278"/>
      <c r="B2" s="265" t="s">
        <v>644</v>
      </c>
      <c r="C2" s="265" t="s">
        <v>543</v>
      </c>
      <c r="D2" s="265" t="s">
        <v>645</v>
      </c>
      <c r="E2" s="281"/>
      <c r="F2" s="281"/>
      <c r="G2" s="281"/>
      <c r="H2" s="281"/>
      <c r="I2" s="281"/>
      <c r="J2" s="281"/>
      <c r="K2" s="281"/>
      <c r="L2" s="281"/>
      <c r="M2" s="282"/>
      <c r="N2" s="276"/>
    </row>
    <row r="3" spans="1:18" s="61" customFormat="1">
      <c r="A3" s="266" t="s">
        <v>590</v>
      </c>
      <c r="B3" s="267">
        <v>0.95</v>
      </c>
      <c r="C3" s="267">
        <v>0.9</v>
      </c>
      <c r="D3" s="267">
        <v>0.9</v>
      </c>
      <c r="E3" s="267">
        <v>0.9</v>
      </c>
      <c r="F3" s="267">
        <v>86</v>
      </c>
      <c r="G3" s="267">
        <v>1.2</v>
      </c>
      <c r="H3" s="267">
        <v>1.1499999999999999</v>
      </c>
      <c r="I3" s="267">
        <v>0.7</v>
      </c>
      <c r="J3" s="267">
        <v>1.2</v>
      </c>
      <c r="K3" s="267">
        <v>0.65</v>
      </c>
      <c r="L3" s="268">
        <v>40000</v>
      </c>
      <c r="M3" s="268">
        <v>66000</v>
      </c>
      <c r="N3" s="269">
        <v>1.03</v>
      </c>
    </row>
    <row r="4" spans="1:18">
      <c r="A4" s="266" t="s">
        <v>589</v>
      </c>
      <c r="B4" s="267">
        <v>0.98</v>
      </c>
      <c r="C4" s="267">
        <v>0.95</v>
      </c>
      <c r="D4" s="267">
        <v>0.95</v>
      </c>
      <c r="E4" s="267">
        <v>0.95</v>
      </c>
      <c r="F4" s="267">
        <v>71</v>
      </c>
      <c r="G4" s="267">
        <v>1.1499999999999999</v>
      </c>
      <c r="H4" s="267">
        <v>1.1000000000000001</v>
      </c>
      <c r="I4" s="267">
        <v>0.8</v>
      </c>
      <c r="J4" s="267">
        <v>1.1499999999999999</v>
      </c>
      <c r="K4" s="267">
        <v>0.75</v>
      </c>
      <c r="L4" s="268">
        <v>45000</v>
      </c>
      <c r="M4" s="268">
        <v>65000</v>
      </c>
      <c r="N4" s="269">
        <v>1.0249999999999999</v>
      </c>
    </row>
    <row r="5" spans="1:18" ht="13.5" thickBot="1">
      <c r="A5" s="270" t="s">
        <v>588</v>
      </c>
      <c r="B5" s="271">
        <v>0.99</v>
      </c>
      <c r="C5" s="271">
        <v>0.98</v>
      </c>
      <c r="D5" s="271">
        <v>0.98</v>
      </c>
      <c r="E5" s="271">
        <v>0.99</v>
      </c>
      <c r="F5" s="271">
        <v>0</v>
      </c>
      <c r="G5" s="271">
        <v>1.1000000000000001</v>
      </c>
      <c r="H5" s="271">
        <v>1.05</v>
      </c>
      <c r="I5" s="271">
        <v>0.9</v>
      </c>
      <c r="J5" s="271">
        <v>1.1000000000000001</v>
      </c>
      <c r="K5" s="271">
        <v>0.85</v>
      </c>
      <c r="L5" s="272">
        <v>50000</v>
      </c>
      <c r="M5" s="272">
        <v>62135</v>
      </c>
      <c r="N5" s="273">
        <v>1.02</v>
      </c>
    </row>
    <row r="6" spans="1:18" ht="13.5" thickTop="1"/>
    <row r="8" spans="1:18">
      <c r="C8" s="61"/>
    </row>
    <row r="9" spans="1:18">
      <c r="C9" s="61"/>
      <c r="D9" s="61"/>
    </row>
    <row r="12" spans="1:18">
      <c r="B12" s="60"/>
      <c r="C12" s="6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</row>
    <row r="13" spans="1:18"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</row>
    <row r="14" spans="1:18">
      <c r="B14" s="60"/>
      <c r="C14" s="60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3"/>
      <c r="P14" s="63"/>
      <c r="Q14" s="62"/>
      <c r="R14" s="60"/>
    </row>
    <row r="15" spans="1:18"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</row>
    <row r="16" spans="1:18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</row>
    <row r="17" spans="2:18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</row>
    <row r="18" spans="2:18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</row>
    <row r="19" spans="2:18"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</row>
  </sheetData>
  <mergeCells count="12">
    <mergeCell ref="N1:N2"/>
    <mergeCell ref="A1:A2"/>
    <mergeCell ref="B1:D1"/>
    <mergeCell ref="E1:E2"/>
    <mergeCell ref="F1:F2"/>
    <mergeCell ref="G1:G2"/>
    <mergeCell ref="H1:H2"/>
    <mergeCell ref="I1:I2"/>
    <mergeCell ref="J1:J2"/>
    <mergeCell ref="K1:K2"/>
    <mergeCell ref="L1:L2"/>
    <mergeCell ref="M1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D277"/>
  <sheetViews>
    <sheetView topLeftCell="A219" zoomScale="10" zoomScaleNormal="10" workbookViewId="0">
      <selection activeCell="AD276" sqref="A1:AD276"/>
    </sheetView>
  </sheetViews>
  <sheetFormatPr defaultRowHeight="50.1" customHeight="1"/>
  <cols>
    <col min="1" max="1" width="21.875" style="3" customWidth="1"/>
    <col min="2" max="2" width="11.625" style="3" customWidth="1"/>
    <col min="3" max="3" width="13.375" style="3" customWidth="1"/>
    <col min="4" max="4" width="18.125" style="3" customWidth="1"/>
    <col min="5" max="5" width="16.875" style="3" customWidth="1"/>
    <col min="6" max="6" width="9" style="3"/>
    <col min="7" max="7" width="12.5" style="3" customWidth="1"/>
    <col min="8" max="8" width="7.75" style="3" customWidth="1"/>
    <col min="9" max="11" width="9" style="3"/>
    <col min="12" max="12" width="11.75" style="5" customWidth="1"/>
    <col min="13" max="13" width="12.625" style="3" customWidth="1"/>
    <col min="14" max="14" width="19.25" style="3" customWidth="1"/>
    <col min="15" max="15" width="19.5" style="3" customWidth="1"/>
    <col min="16" max="16" width="12.875" style="3" customWidth="1"/>
    <col min="17" max="17" width="17" style="3" customWidth="1"/>
    <col min="18" max="22" width="32.75" style="3" customWidth="1"/>
    <col min="23" max="23" width="9" style="3"/>
    <col min="24" max="24" width="14.5" style="3" customWidth="1"/>
    <col min="25" max="25" width="13.375" style="3" customWidth="1"/>
    <col min="26" max="26" width="21.75" style="3" customWidth="1"/>
    <col min="27" max="27" width="13" style="3" customWidth="1"/>
    <col min="28" max="16384" width="9" style="3"/>
  </cols>
  <sheetData>
    <row r="1" spans="1:30" ht="50.1" customHeight="1" thickTop="1">
      <c r="A1" s="283" t="s">
        <v>0</v>
      </c>
      <c r="B1" s="285" t="s">
        <v>218</v>
      </c>
      <c r="C1" s="285"/>
      <c r="D1" s="285"/>
      <c r="E1" s="285"/>
      <c r="F1" s="285"/>
      <c r="G1" s="285"/>
      <c r="H1" s="285"/>
      <c r="I1" s="285"/>
      <c r="J1" s="285"/>
      <c r="K1" s="287" t="s">
        <v>133</v>
      </c>
      <c r="L1" s="291" t="s">
        <v>134</v>
      </c>
      <c r="M1" s="287" t="s">
        <v>135</v>
      </c>
      <c r="N1" s="287" t="s">
        <v>138</v>
      </c>
      <c r="O1" s="287" t="s">
        <v>555</v>
      </c>
      <c r="P1" s="287" t="s">
        <v>556</v>
      </c>
      <c r="Q1" s="287" t="s">
        <v>557</v>
      </c>
      <c r="R1" s="287" t="s">
        <v>219</v>
      </c>
      <c r="S1" s="287" t="s">
        <v>227</v>
      </c>
      <c r="T1" s="287"/>
      <c r="U1" s="287"/>
      <c r="V1" s="287"/>
      <c r="W1" s="287"/>
      <c r="X1" s="287" t="s">
        <v>574</v>
      </c>
      <c r="Y1" s="289" t="s">
        <v>220</v>
      </c>
      <c r="Z1" s="143"/>
      <c r="AA1" s="143"/>
      <c r="AB1" s="143"/>
      <c r="AC1" s="143"/>
      <c r="AD1" s="143"/>
    </row>
    <row r="2" spans="1:30" s="4" customFormat="1" ht="65.25" customHeight="1" thickBot="1">
      <c r="A2" s="284"/>
      <c r="B2" s="205" t="s">
        <v>442</v>
      </c>
      <c r="C2" s="205" t="s">
        <v>518</v>
      </c>
      <c r="D2" s="205" t="s">
        <v>519</v>
      </c>
      <c r="E2" s="205" t="s">
        <v>563</v>
      </c>
      <c r="F2" s="205" t="s">
        <v>1</v>
      </c>
      <c r="G2" s="205" t="s">
        <v>130</v>
      </c>
      <c r="H2" s="205" t="s">
        <v>131</v>
      </c>
      <c r="I2" s="205" t="s">
        <v>132</v>
      </c>
      <c r="J2" s="205" t="s">
        <v>2</v>
      </c>
      <c r="K2" s="288"/>
      <c r="L2" s="292"/>
      <c r="M2" s="288"/>
      <c r="N2" s="288"/>
      <c r="O2" s="288"/>
      <c r="P2" s="288"/>
      <c r="Q2" s="288"/>
      <c r="R2" s="288"/>
      <c r="S2" s="205" t="s">
        <v>520</v>
      </c>
      <c r="T2" s="205" t="s">
        <v>228</v>
      </c>
      <c r="U2" s="205" t="s">
        <v>225</v>
      </c>
      <c r="V2" s="205" t="s">
        <v>226</v>
      </c>
      <c r="W2" s="205" t="s">
        <v>224</v>
      </c>
      <c r="X2" s="288"/>
      <c r="Y2" s="290"/>
      <c r="Z2" s="206"/>
      <c r="AA2" s="206"/>
      <c r="AB2" s="206"/>
      <c r="AC2" s="206"/>
      <c r="AD2" s="206"/>
    </row>
    <row r="3" spans="1:30" ht="50.1" customHeight="1">
      <c r="A3" s="207" t="s">
        <v>127</v>
      </c>
      <c r="B3" s="208" t="s">
        <v>101</v>
      </c>
      <c r="C3" s="208" t="s">
        <v>4</v>
      </c>
      <c r="D3" s="208" t="s">
        <v>101</v>
      </c>
      <c r="E3" s="208" t="s">
        <v>101</v>
      </c>
      <c r="F3" s="208" t="s">
        <v>101</v>
      </c>
      <c r="G3" s="208" t="s">
        <v>101</v>
      </c>
      <c r="H3" s="208" t="s">
        <v>101</v>
      </c>
      <c r="I3" s="208" t="s">
        <v>101</v>
      </c>
      <c r="J3" s="208" t="s">
        <v>101</v>
      </c>
      <c r="K3" s="208">
        <v>1960</v>
      </c>
      <c r="L3" s="209" t="s">
        <v>5</v>
      </c>
      <c r="M3" s="208">
        <v>3</v>
      </c>
      <c r="N3" s="208">
        <v>62</v>
      </c>
      <c r="O3" s="208" t="s">
        <v>101</v>
      </c>
      <c r="P3" s="208" t="s">
        <v>4</v>
      </c>
      <c r="Q3" s="208" t="s">
        <v>4</v>
      </c>
      <c r="R3" s="208" t="s">
        <v>139</v>
      </c>
      <c r="S3" s="208">
        <v>2.5</v>
      </c>
      <c r="T3" s="138" t="s">
        <v>101</v>
      </c>
      <c r="U3" s="208" t="s">
        <v>101</v>
      </c>
      <c r="V3" s="208" t="s">
        <v>101</v>
      </c>
      <c r="W3" s="208">
        <v>1</v>
      </c>
      <c r="X3" s="208">
        <v>2500</v>
      </c>
      <c r="Y3" s="210" t="s">
        <v>101</v>
      </c>
      <c r="Z3" s="143"/>
      <c r="AA3" s="143"/>
      <c r="AB3" s="143"/>
      <c r="AC3" s="143"/>
      <c r="AD3" s="143"/>
    </row>
    <row r="4" spans="1:30" ht="50.1" customHeight="1">
      <c r="A4" s="211" t="s">
        <v>126</v>
      </c>
      <c r="B4" s="138" t="s">
        <v>101</v>
      </c>
      <c r="C4" s="138" t="s">
        <v>4</v>
      </c>
      <c r="D4" s="138" t="s">
        <v>101</v>
      </c>
      <c r="E4" s="138" t="s">
        <v>101</v>
      </c>
      <c r="F4" s="208" t="s">
        <v>101</v>
      </c>
      <c r="G4" s="208" t="s">
        <v>101</v>
      </c>
      <c r="H4" s="208" t="s">
        <v>101</v>
      </c>
      <c r="I4" s="208" t="s">
        <v>101</v>
      </c>
      <c r="J4" s="208" t="s">
        <v>101</v>
      </c>
      <c r="K4" s="138">
        <v>1975</v>
      </c>
      <c r="L4" s="212" t="s">
        <v>136</v>
      </c>
      <c r="M4" s="138">
        <v>1</v>
      </c>
      <c r="N4" s="138">
        <v>60</v>
      </c>
      <c r="O4" s="138" t="s">
        <v>4</v>
      </c>
      <c r="P4" s="138" t="s">
        <v>4</v>
      </c>
      <c r="Q4" s="138" t="s">
        <v>4</v>
      </c>
      <c r="R4" s="138" t="s">
        <v>139</v>
      </c>
      <c r="S4" s="138">
        <v>2</v>
      </c>
      <c r="T4" s="138" t="s">
        <v>101</v>
      </c>
      <c r="U4" s="138" t="s">
        <v>101</v>
      </c>
      <c r="V4" s="138" t="s">
        <v>101</v>
      </c>
      <c r="W4" s="138">
        <v>3</v>
      </c>
      <c r="X4" s="138">
        <v>3500</v>
      </c>
      <c r="Y4" s="213" t="s">
        <v>101</v>
      </c>
      <c r="Z4" s="143"/>
      <c r="AA4" s="143"/>
      <c r="AB4" s="143"/>
      <c r="AC4" s="143"/>
      <c r="AD4" s="143"/>
    </row>
    <row r="5" spans="1:30" ht="50.1" customHeight="1">
      <c r="A5" s="211" t="s">
        <v>125</v>
      </c>
      <c r="B5" s="138" t="s">
        <v>4</v>
      </c>
      <c r="C5" s="138" t="s">
        <v>101</v>
      </c>
      <c r="D5" s="138" t="s">
        <v>101</v>
      </c>
      <c r="E5" s="138" t="s">
        <v>101</v>
      </c>
      <c r="F5" s="208" t="s">
        <v>101</v>
      </c>
      <c r="G5" s="208" t="s">
        <v>101</v>
      </c>
      <c r="H5" s="208" t="s">
        <v>101</v>
      </c>
      <c r="I5" s="208" t="s">
        <v>101</v>
      </c>
      <c r="J5" s="208" t="s">
        <v>101</v>
      </c>
      <c r="K5" s="138">
        <v>1965</v>
      </c>
      <c r="L5" s="212" t="s">
        <v>137</v>
      </c>
      <c r="M5" s="138">
        <v>2</v>
      </c>
      <c r="N5" s="138">
        <v>160</v>
      </c>
      <c r="O5" s="138" t="s">
        <v>4</v>
      </c>
      <c r="P5" s="138" t="s">
        <v>4</v>
      </c>
      <c r="Q5" s="138" t="s">
        <v>4</v>
      </c>
      <c r="R5" s="138" t="s">
        <v>143</v>
      </c>
      <c r="S5" s="138">
        <v>4</v>
      </c>
      <c r="T5" s="138" t="s">
        <v>101</v>
      </c>
      <c r="U5" s="138" t="s">
        <v>101</v>
      </c>
      <c r="V5" s="138" t="s">
        <v>101</v>
      </c>
      <c r="W5" s="138" t="s">
        <v>101</v>
      </c>
      <c r="X5" s="138">
        <v>2500</v>
      </c>
      <c r="Y5" s="213" t="s">
        <v>101</v>
      </c>
      <c r="Z5" s="143"/>
      <c r="AA5" s="143"/>
      <c r="AB5" s="143"/>
      <c r="AC5" s="143"/>
      <c r="AD5" s="143"/>
    </row>
    <row r="6" spans="1:30" ht="50.1" customHeight="1">
      <c r="A6" s="211" t="s">
        <v>124</v>
      </c>
      <c r="B6" s="138" t="s">
        <v>101</v>
      </c>
      <c r="C6" s="138" t="s">
        <v>101</v>
      </c>
      <c r="D6" s="138" t="s">
        <v>101</v>
      </c>
      <c r="E6" s="138" t="s">
        <v>101</v>
      </c>
      <c r="F6" s="208" t="s">
        <v>101</v>
      </c>
      <c r="G6" s="208" t="s">
        <v>101</v>
      </c>
      <c r="H6" s="138" t="s">
        <v>4</v>
      </c>
      <c r="I6" s="208" t="s">
        <v>101</v>
      </c>
      <c r="J6" s="208" t="s">
        <v>101</v>
      </c>
      <c r="K6" s="138">
        <v>1965</v>
      </c>
      <c r="L6" s="212" t="s">
        <v>136</v>
      </c>
      <c r="M6" s="138">
        <v>6</v>
      </c>
      <c r="N6" s="138">
        <v>120</v>
      </c>
      <c r="O6" s="138" t="s">
        <v>4</v>
      </c>
      <c r="P6" s="138" t="s">
        <v>4</v>
      </c>
      <c r="Q6" s="138" t="s">
        <v>4</v>
      </c>
      <c r="R6" s="138" t="s">
        <v>139</v>
      </c>
      <c r="S6" s="138" t="s">
        <v>101</v>
      </c>
      <c r="T6" s="138" t="s">
        <v>101</v>
      </c>
      <c r="U6" s="138" t="s">
        <v>101</v>
      </c>
      <c r="V6" s="138" t="s">
        <v>101</v>
      </c>
      <c r="W6" s="138">
        <v>5</v>
      </c>
      <c r="X6" s="138">
        <v>1000</v>
      </c>
      <c r="Y6" s="213" t="s">
        <v>101</v>
      </c>
      <c r="Z6" s="143"/>
      <c r="AA6" s="143"/>
      <c r="AB6" s="143"/>
      <c r="AC6" s="143"/>
      <c r="AD6" s="143"/>
    </row>
    <row r="7" spans="1:30" ht="50.1" customHeight="1">
      <c r="A7" s="211" t="s">
        <v>188</v>
      </c>
      <c r="B7" s="138" t="s">
        <v>101</v>
      </c>
      <c r="C7" s="138" t="s">
        <v>4</v>
      </c>
      <c r="D7" s="138" t="s">
        <v>101</v>
      </c>
      <c r="E7" s="138" t="s">
        <v>101</v>
      </c>
      <c r="F7" s="208" t="s">
        <v>101</v>
      </c>
      <c r="G7" s="208" t="s">
        <v>101</v>
      </c>
      <c r="H7" s="138" t="s">
        <v>101</v>
      </c>
      <c r="I7" s="208" t="s">
        <v>101</v>
      </c>
      <c r="J7" s="208" t="s">
        <v>101</v>
      </c>
      <c r="K7" s="138">
        <v>1970</v>
      </c>
      <c r="L7" s="212" t="s">
        <v>5</v>
      </c>
      <c r="M7" s="138">
        <v>1</v>
      </c>
      <c r="N7" s="138">
        <v>80</v>
      </c>
      <c r="O7" s="138" t="s">
        <v>4</v>
      </c>
      <c r="P7" s="138" t="s">
        <v>4</v>
      </c>
      <c r="Q7" s="138" t="s">
        <v>4</v>
      </c>
      <c r="R7" s="138" t="s">
        <v>143</v>
      </c>
      <c r="S7" s="138">
        <v>3</v>
      </c>
      <c r="T7" s="138" t="s">
        <v>101</v>
      </c>
      <c r="U7" s="138" t="s">
        <v>101</v>
      </c>
      <c r="V7" s="138" t="s">
        <v>101</v>
      </c>
      <c r="W7" s="138">
        <v>1</v>
      </c>
      <c r="X7" s="138" t="s">
        <v>193</v>
      </c>
      <c r="Y7" s="213" t="s">
        <v>101</v>
      </c>
      <c r="Z7" s="143"/>
      <c r="AA7" s="143"/>
      <c r="AB7" s="143"/>
      <c r="AC7" s="143"/>
      <c r="AD7" s="143"/>
    </row>
    <row r="8" spans="1:30" ht="50.1" customHeight="1">
      <c r="A8" s="211" t="s">
        <v>185</v>
      </c>
      <c r="B8" s="138" t="s">
        <v>101</v>
      </c>
      <c r="C8" s="138" t="s">
        <v>4</v>
      </c>
      <c r="D8" s="138" t="s">
        <v>101</v>
      </c>
      <c r="E8" s="138" t="s">
        <v>101</v>
      </c>
      <c r="F8" s="208" t="s">
        <v>101</v>
      </c>
      <c r="G8" s="208" t="s">
        <v>101</v>
      </c>
      <c r="H8" s="138" t="s">
        <v>101</v>
      </c>
      <c r="I8" s="208" t="s">
        <v>101</v>
      </c>
      <c r="J8" s="208" t="s">
        <v>101</v>
      </c>
      <c r="K8" s="138">
        <v>1975</v>
      </c>
      <c r="L8" s="212" t="s">
        <v>136</v>
      </c>
      <c r="M8" s="138">
        <v>2</v>
      </c>
      <c r="N8" s="138">
        <v>75</v>
      </c>
      <c r="O8" s="138" t="s">
        <v>4</v>
      </c>
      <c r="P8" s="138" t="s">
        <v>4</v>
      </c>
      <c r="Q8" s="138" t="s">
        <v>4</v>
      </c>
      <c r="R8" s="138" t="s">
        <v>139</v>
      </c>
      <c r="S8" s="138">
        <v>2.5</v>
      </c>
      <c r="T8" s="138" t="s">
        <v>101</v>
      </c>
      <c r="U8" s="138" t="s">
        <v>101</v>
      </c>
      <c r="V8" s="138" t="s">
        <v>101</v>
      </c>
      <c r="W8" s="138">
        <v>1</v>
      </c>
      <c r="X8" s="138" t="s">
        <v>193</v>
      </c>
      <c r="Y8" s="213" t="s">
        <v>101</v>
      </c>
      <c r="Z8" s="143"/>
      <c r="AA8" s="143"/>
      <c r="AB8" s="143"/>
      <c r="AC8" s="143"/>
      <c r="AD8" s="143"/>
    </row>
    <row r="9" spans="1:30" ht="50.1" customHeight="1">
      <c r="A9" s="211" t="s">
        <v>187</v>
      </c>
      <c r="B9" s="138" t="s">
        <v>101</v>
      </c>
      <c r="C9" s="138" t="s">
        <v>4</v>
      </c>
      <c r="D9" s="138" t="s">
        <v>101</v>
      </c>
      <c r="E9" s="138" t="s">
        <v>101</v>
      </c>
      <c r="F9" s="208" t="s">
        <v>101</v>
      </c>
      <c r="G9" s="208" t="s">
        <v>101</v>
      </c>
      <c r="H9" s="138" t="s">
        <v>101</v>
      </c>
      <c r="I9" s="208" t="s">
        <v>101</v>
      </c>
      <c r="J9" s="208" t="s">
        <v>101</v>
      </c>
      <c r="K9" s="138">
        <v>1939</v>
      </c>
      <c r="L9" s="212" t="s">
        <v>5</v>
      </c>
      <c r="M9" s="138">
        <v>5</v>
      </c>
      <c r="N9" s="138">
        <v>100</v>
      </c>
      <c r="O9" s="138" t="s">
        <v>4</v>
      </c>
      <c r="P9" s="138" t="s">
        <v>4</v>
      </c>
      <c r="Q9" s="138" t="s">
        <v>4</v>
      </c>
      <c r="R9" s="138" t="s">
        <v>143</v>
      </c>
      <c r="S9" s="138">
        <v>4</v>
      </c>
      <c r="T9" s="138" t="s">
        <v>101</v>
      </c>
      <c r="U9" s="138" t="s">
        <v>101</v>
      </c>
      <c r="V9" s="138" t="s">
        <v>101</v>
      </c>
      <c r="W9" s="138">
        <v>1</v>
      </c>
      <c r="X9" s="138" t="s">
        <v>193</v>
      </c>
      <c r="Y9" s="213" t="s">
        <v>101</v>
      </c>
      <c r="Z9" s="143"/>
      <c r="AA9" s="143"/>
      <c r="AB9" s="143"/>
      <c r="AC9" s="143"/>
      <c r="AD9" s="143"/>
    </row>
    <row r="10" spans="1:30" ht="50.1" customHeight="1">
      <c r="A10" s="211" t="s">
        <v>186</v>
      </c>
      <c r="B10" s="138" t="s">
        <v>101</v>
      </c>
      <c r="C10" s="138" t="s">
        <v>101</v>
      </c>
      <c r="D10" s="138" t="s">
        <v>101</v>
      </c>
      <c r="E10" s="138" t="s">
        <v>101</v>
      </c>
      <c r="F10" s="208" t="s">
        <v>101</v>
      </c>
      <c r="G10" s="208" t="s">
        <v>101</v>
      </c>
      <c r="H10" s="138" t="s">
        <v>101</v>
      </c>
      <c r="I10" s="208" t="s">
        <v>101</v>
      </c>
      <c r="J10" s="208" t="s">
        <v>101</v>
      </c>
      <c r="K10" s="138">
        <v>1990</v>
      </c>
      <c r="L10" s="212" t="s">
        <v>5</v>
      </c>
      <c r="M10" s="138">
        <v>4</v>
      </c>
      <c r="N10" s="138">
        <v>150</v>
      </c>
      <c r="O10" s="138" t="s">
        <v>4</v>
      </c>
      <c r="P10" s="138" t="s">
        <v>4</v>
      </c>
      <c r="Q10" s="138" t="s">
        <v>4</v>
      </c>
      <c r="R10" s="138" t="s">
        <v>143</v>
      </c>
      <c r="S10" s="138" t="s">
        <v>101</v>
      </c>
      <c r="T10" s="138" t="s">
        <v>101</v>
      </c>
      <c r="U10" s="138" t="s">
        <v>101</v>
      </c>
      <c r="V10" s="138" t="s">
        <v>101</v>
      </c>
      <c r="W10" s="138" t="s">
        <v>666</v>
      </c>
      <c r="X10" s="138" t="s">
        <v>666</v>
      </c>
      <c r="Y10" s="213" t="s">
        <v>101</v>
      </c>
      <c r="Z10" s="143"/>
      <c r="AA10" s="143"/>
      <c r="AB10" s="143"/>
      <c r="AC10" s="143"/>
      <c r="AD10" s="143"/>
    </row>
    <row r="11" spans="1:30" ht="50.1" customHeight="1">
      <c r="A11" s="211" t="s">
        <v>184</v>
      </c>
      <c r="B11" s="138" t="s">
        <v>101</v>
      </c>
      <c r="C11" s="138" t="s">
        <v>4</v>
      </c>
      <c r="D11" s="138" t="s">
        <v>101</v>
      </c>
      <c r="E11" s="138" t="s">
        <v>101</v>
      </c>
      <c r="F11" s="208" t="s">
        <v>101</v>
      </c>
      <c r="G11" s="208" t="s">
        <v>101</v>
      </c>
      <c r="H11" s="138" t="s">
        <v>101</v>
      </c>
      <c r="I11" s="208" t="s">
        <v>101</v>
      </c>
      <c r="J11" s="208" t="s">
        <v>101</v>
      </c>
      <c r="K11" s="138">
        <v>1970</v>
      </c>
      <c r="L11" s="212" t="s">
        <v>5</v>
      </c>
      <c r="M11" s="138">
        <v>1</v>
      </c>
      <c r="N11" s="138">
        <v>100</v>
      </c>
      <c r="O11" s="138" t="s">
        <v>4</v>
      </c>
      <c r="P11" s="138" t="s">
        <v>4</v>
      </c>
      <c r="Q11" s="138" t="s">
        <v>4</v>
      </c>
      <c r="R11" s="138" t="s">
        <v>417</v>
      </c>
      <c r="S11" s="138">
        <v>2</v>
      </c>
      <c r="T11" s="138" t="s">
        <v>101</v>
      </c>
      <c r="U11" s="138" t="s">
        <v>101</v>
      </c>
      <c r="V11" s="138" t="s">
        <v>101</v>
      </c>
      <c r="W11" s="138">
        <v>6</v>
      </c>
      <c r="X11" s="138" t="s">
        <v>193</v>
      </c>
      <c r="Y11" s="213" t="s">
        <v>101</v>
      </c>
      <c r="Z11" s="143"/>
      <c r="AA11" s="143"/>
      <c r="AB11" s="143"/>
      <c r="AC11" s="143"/>
      <c r="AD11" s="143"/>
    </row>
    <row r="12" spans="1:30" ht="50.1" customHeight="1">
      <c r="A12" s="211" t="s">
        <v>46</v>
      </c>
      <c r="B12" s="138" t="s">
        <v>101</v>
      </c>
      <c r="C12" s="138" t="s">
        <v>101</v>
      </c>
      <c r="D12" s="138" t="s">
        <v>101</v>
      </c>
      <c r="E12" s="138" t="s">
        <v>101</v>
      </c>
      <c r="F12" s="138" t="s">
        <v>4</v>
      </c>
      <c r="G12" s="138" t="s">
        <v>101</v>
      </c>
      <c r="H12" s="138" t="s">
        <v>101</v>
      </c>
      <c r="I12" s="208" t="s">
        <v>101</v>
      </c>
      <c r="J12" s="208" t="s">
        <v>101</v>
      </c>
      <c r="K12" s="138">
        <v>1983</v>
      </c>
      <c r="L12" s="212" t="s">
        <v>7</v>
      </c>
      <c r="M12" s="138">
        <v>5</v>
      </c>
      <c r="N12" s="138">
        <v>200</v>
      </c>
      <c r="O12" s="138" t="s">
        <v>4</v>
      </c>
      <c r="P12" s="138" t="s">
        <v>4</v>
      </c>
      <c r="Q12" s="138" t="s">
        <v>4</v>
      </c>
      <c r="R12" s="138" t="s">
        <v>139</v>
      </c>
      <c r="S12" s="138" t="s">
        <v>101</v>
      </c>
      <c r="T12" s="138" t="s">
        <v>101</v>
      </c>
      <c r="U12" s="138">
        <v>2500</v>
      </c>
      <c r="V12" s="138" t="s">
        <v>101</v>
      </c>
      <c r="W12" s="138" t="s">
        <v>101</v>
      </c>
      <c r="X12" s="138" t="s">
        <v>193</v>
      </c>
      <c r="Y12" s="213" t="s">
        <v>101</v>
      </c>
      <c r="Z12" s="143"/>
      <c r="AA12" s="143"/>
      <c r="AB12" s="143"/>
      <c r="AC12" s="143"/>
      <c r="AD12" s="143"/>
    </row>
    <row r="13" spans="1:30" ht="50.1" customHeight="1">
      <c r="A13" s="211" t="s">
        <v>45</v>
      </c>
      <c r="B13" s="138" t="s">
        <v>101</v>
      </c>
      <c r="C13" s="138" t="s">
        <v>4</v>
      </c>
      <c r="D13" s="138" t="s">
        <v>101</v>
      </c>
      <c r="E13" s="138" t="s">
        <v>101</v>
      </c>
      <c r="F13" s="138" t="s">
        <v>101</v>
      </c>
      <c r="G13" s="138" t="s">
        <v>101</v>
      </c>
      <c r="H13" s="138" t="s">
        <v>101</v>
      </c>
      <c r="I13" s="138" t="s">
        <v>101</v>
      </c>
      <c r="J13" s="138" t="s">
        <v>101</v>
      </c>
      <c r="K13" s="138">
        <v>1960</v>
      </c>
      <c r="L13" s="212" t="s">
        <v>5</v>
      </c>
      <c r="M13" s="138"/>
      <c r="N13" s="138">
        <v>80</v>
      </c>
      <c r="O13" s="138" t="s">
        <v>4</v>
      </c>
      <c r="P13" s="138" t="s">
        <v>4</v>
      </c>
      <c r="Q13" s="138" t="s">
        <v>101</v>
      </c>
      <c r="R13" s="138" t="s">
        <v>146</v>
      </c>
      <c r="S13" s="138">
        <v>3</v>
      </c>
      <c r="T13" s="138" t="s">
        <v>101</v>
      </c>
      <c r="U13" s="138" t="s">
        <v>101</v>
      </c>
      <c r="V13" s="138" t="s">
        <v>101</v>
      </c>
      <c r="W13" s="138">
        <v>3</v>
      </c>
      <c r="X13" s="138" t="s">
        <v>193</v>
      </c>
      <c r="Y13" s="213" t="s">
        <v>4</v>
      </c>
      <c r="Z13" s="143"/>
      <c r="AA13" s="143"/>
      <c r="AB13" s="143"/>
      <c r="AC13" s="143"/>
      <c r="AD13" s="143"/>
    </row>
    <row r="14" spans="1:30" ht="50.1" customHeight="1">
      <c r="A14" s="211" t="s">
        <v>216</v>
      </c>
      <c r="B14" s="138" t="s">
        <v>101</v>
      </c>
      <c r="C14" s="138" t="s">
        <v>4</v>
      </c>
      <c r="D14" s="138" t="s">
        <v>101</v>
      </c>
      <c r="E14" s="138" t="s">
        <v>101</v>
      </c>
      <c r="F14" s="138" t="s">
        <v>101</v>
      </c>
      <c r="G14" s="138" t="s">
        <v>101</v>
      </c>
      <c r="H14" s="138" t="s">
        <v>101</v>
      </c>
      <c r="I14" s="138" t="s">
        <v>101</v>
      </c>
      <c r="J14" s="138" t="s">
        <v>101</v>
      </c>
      <c r="K14" s="138">
        <v>2005</v>
      </c>
      <c r="L14" s="212" t="s">
        <v>137</v>
      </c>
      <c r="M14" s="138">
        <v>4</v>
      </c>
      <c r="N14" s="138">
        <v>150</v>
      </c>
      <c r="O14" s="138" t="s">
        <v>4</v>
      </c>
      <c r="P14" s="138" t="s">
        <v>4</v>
      </c>
      <c r="Q14" s="138" t="s">
        <v>4</v>
      </c>
      <c r="R14" s="138" t="s">
        <v>145</v>
      </c>
      <c r="S14" s="138">
        <v>5</v>
      </c>
      <c r="T14" s="138" t="s">
        <v>101</v>
      </c>
      <c r="U14" s="138" t="s">
        <v>101</v>
      </c>
      <c r="V14" s="138" t="s">
        <v>101</v>
      </c>
      <c r="W14" s="138">
        <v>2</v>
      </c>
      <c r="X14" s="138" t="s">
        <v>193</v>
      </c>
      <c r="Y14" s="213" t="s">
        <v>4</v>
      </c>
      <c r="Z14" s="143"/>
      <c r="AA14" s="143"/>
      <c r="AB14" s="143"/>
      <c r="AC14" s="143"/>
      <c r="AD14" s="143"/>
    </row>
    <row r="15" spans="1:30" ht="50.1" customHeight="1">
      <c r="A15" s="211" t="s">
        <v>38</v>
      </c>
      <c r="B15" s="138" t="s">
        <v>101</v>
      </c>
      <c r="C15" s="138" t="s">
        <v>4</v>
      </c>
      <c r="D15" s="138" t="s">
        <v>101</v>
      </c>
      <c r="E15" s="138" t="s">
        <v>101</v>
      </c>
      <c r="F15" s="138" t="s">
        <v>101</v>
      </c>
      <c r="G15" s="138" t="s">
        <v>101</v>
      </c>
      <c r="H15" s="138" t="s">
        <v>101</v>
      </c>
      <c r="I15" s="138" t="s">
        <v>101</v>
      </c>
      <c r="J15" s="138" t="s">
        <v>101</v>
      </c>
      <c r="K15" s="138">
        <v>2005</v>
      </c>
      <c r="L15" s="212" t="s">
        <v>5</v>
      </c>
      <c r="M15" s="138">
        <v>5</v>
      </c>
      <c r="N15" s="138">
        <v>200</v>
      </c>
      <c r="O15" s="138" t="s">
        <v>4</v>
      </c>
      <c r="P15" s="138" t="s">
        <v>4</v>
      </c>
      <c r="Q15" s="138" t="s">
        <v>4</v>
      </c>
      <c r="R15" s="138" t="s">
        <v>139</v>
      </c>
      <c r="S15" s="138">
        <v>6</v>
      </c>
      <c r="T15" s="138" t="s">
        <v>101</v>
      </c>
      <c r="U15" s="138" t="s">
        <v>101</v>
      </c>
      <c r="V15" s="138" t="s">
        <v>101</v>
      </c>
      <c r="W15" s="138">
        <v>3</v>
      </c>
      <c r="X15" s="138" t="s">
        <v>193</v>
      </c>
      <c r="Y15" s="213" t="s">
        <v>101</v>
      </c>
      <c r="Z15" s="143"/>
      <c r="AA15" s="143"/>
      <c r="AB15" s="143"/>
      <c r="AC15" s="143"/>
      <c r="AD15" s="143"/>
    </row>
    <row r="16" spans="1:30" ht="50.1" customHeight="1">
      <c r="A16" s="211" t="s">
        <v>213</v>
      </c>
      <c r="B16" s="138" t="s">
        <v>101</v>
      </c>
      <c r="C16" s="138" t="s">
        <v>4</v>
      </c>
      <c r="D16" s="138" t="s">
        <v>101</v>
      </c>
      <c r="E16" s="138" t="s">
        <v>101</v>
      </c>
      <c r="F16" s="138" t="s">
        <v>101</v>
      </c>
      <c r="G16" s="138" t="s">
        <v>101</v>
      </c>
      <c r="H16" s="138" t="s">
        <v>101</v>
      </c>
      <c r="I16" s="138" t="s">
        <v>101</v>
      </c>
      <c r="J16" s="138" t="s">
        <v>101</v>
      </c>
      <c r="K16" s="138">
        <v>1966</v>
      </c>
      <c r="L16" s="212" t="s">
        <v>5</v>
      </c>
      <c r="M16" s="138">
        <v>4</v>
      </c>
      <c r="N16" s="138">
        <v>100</v>
      </c>
      <c r="O16" s="138" t="s">
        <v>4</v>
      </c>
      <c r="P16" s="138" t="s">
        <v>4</v>
      </c>
      <c r="Q16" s="138" t="s">
        <v>101</v>
      </c>
      <c r="R16" s="138" t="s">
        <v>145</v>
      </c>
      <c r="S16" s="138">
        <v>4</v>
      </c>
      <c r="T16" s="138" t="s">
        <v>101</v>
      </c>
      <c r="U16" s="138" t="s">
        <v>101</v>
      </c>
      <c r="V16" s="138" t="s">
        <v>101</v>
      </c>
      <c r="W16" s="138">
        <v>1</v>
      </c>
      <c r="X16" s="138" t="s">
        <v>193</v>
      </c>
      <c r="Y16" s="213" t="s">
        <v>101</v>
      </c>
      <c r="Z16" s="143"/>
      <c r="AA16" s="143"/>
      <c r="AB16" s="143"/>
      <c r="AC16" s="143"/>
      <c r="AD16" s="143"/>
    </row>
    <row r="17" spans="1:30" ht="50.1" customHeight="1">
      <c r="A17" s="211" t="s">
        <v>214</v>
      </c>
      <c r="B17" s="138" t="s">
        <v>101</v>
      </c>
      <c r="C17" s="138" t="s">
        <v>4</v>
      </c>
      <c r="D17" s="138" t="s">
        <v>101</v>
      </c>
      <c r="E17" s="138" t="s">
        <v>101</v>
      </c>
      <c r="F17" s="138" t="s">
        <v>101</v>
      </c>
      <c r="G17" s="138" t="s">
        <v>101</v>
      </c>
      <c r="H17" s="138" t="s">
        <v>101</v>
      </c>
      <c r="I17" s="138" t="s">
        <v>101</v>
      </c>
      <c r="J17" s="138" t="s">
        <v>101</v>
      </c>
      <c r="K17" s="138">
        <v>1950</v>
      </c>
      <c r="L17" s="212" t="s">
        <v>5</v>
      </c>
      <c r="M17" s="138">
        <v>5</v>
      </c>
      <c r="N17" s="138">
        <v>180</v>
      </c>
      <c r="O17" s="138" t="s">
        <v>4</v>
      </c>
      <c r="P17" s="138" t="s">
        <v>4</v>
      </c>
      <c r="Q17" s="138" t="s">
        <v>4</v>
      </c>
      <c r="R17" s="138" t="s">
        <v>139</v>
      </c>
      <c r="S17" s="138">
        <v>3</v>
      </c>
      <c r="T17" s="138" t="s">
        <v>101</v>
      </c>
      <c r="U17" s="138" t="s">
        <v>101</v>
      </c>
      <c r="V17" s="138" t="s">
        <v>101</v>
      </c>
      <c r="W17" s="138">
        <v>4</v>
      </c>
      <c r="X17" s="138" t="s">
        <v>193</v>
      </c>
      <c r="Y17" s="213" t="s">
        <v>101</v>
      </c>
      <c r="Z17" s="143"/>
      <c r="AA17" s="143"/>
      <c r="AB17" s="143"/>
      <c r="AC17" s="143"/>
      <c r="AD17" s="143"/>
    </row>
    <row r="18" spans="1:30" ht="50.1" customHeight="1">
      <c r="A18" s="211" t="s">
        <v>215</v>
      </c>
      <c r="B18" s="138" t="s">
        <v>101</v>
      </c>
      <c r="C18" s="138" t="s">
        <v>4</v>
      </c>
      <c r="D18" s="138" t="s">
        <v>101</v>
      </c>
      <c r="E18" s="138" t="s">
        <v>101</v>
      </c>
      <c r="F18" s="138" t="s">
        <v>101</v>
      </c>
      <c r="G18" s="138" t="s">
        <v>101</v>
      </c>
      <c r="H18" s="138" t="s">
        <v>101</v>
      </c>
      <c r="I18" s="138" t="s">
        <v>101</v>
      </c>
      <c r="J18" s="138" t="s">
        <v>101</v>
      </c>
      <c r="K18" s="138">
        <v>1950</v>
      </c>
      <c r="L18" s="212" t="s">
        <v>136</v>
      </c>
      <c r="M18" s="138">
        <v>4</v>
      </c>
      <c r="N18" s="138">
        <v>80</v>
      </c>
      <c r="O18" s="138" t="s">
        <v>4</v>
      </c>
      <c r="P18" s="138" t="s">
        <v>4</v>
      </c>
      <c r="Q18" s="138" t="s">
        <v>101</v>
      </c>
      <c r="R18" s="138" t="s">
        <v>143</v>
      </c>
      <c r="S18" s="138">
        <v>3</v>
      </c>
      <c r="T18" s="138" t="s">
        <v>101</v>
      </c>
      <c r="U18" s="138" t="s">
        <v>101</v>
      </c>
      <c r="V18" s="138" t="s">
        <v>101</v>
      </c>
      <c r="W18" s="138">
        <v>1</v>
      </c>
      <c r="X18" s="138" t="s">
        <v>193</v>
      </c>
      <c r="Y18" s="213" t="s">
        <v>101</v>
      </c>
      <c r="Z18" s="143"/>
      <c r="AA18" s="143"/>
      <c r="AB18" s="143"/>
      <c r="AC18" s="143"/>
      <c r="AD18" s="143"/>
    </row>
    <row r="19" spans="1:30" ht="50.1" customHeight="1">
      <c r="A19" s="211" t="s">
        <v>99</v>
      </c>
      <c r="B19" s="138" t="s">
        <v>101</v>
      </c>
      <c r="C19" s="138" t="s">
        <v>101</v>
      </c>
      <c r="D19" s="138" t="s">
        <v>101</v>
      </c>
      <c r="E19" s="138" t="s">
        <v>101</v>
      </c>
      <c r="F19" s="138" t="s">
        <v>4</v>
      </c>
      <c r="G19" s="138" t="s">
        <v>101</v>
      </c>
      <c r="H19" s="138" t="s">
        <v>101</v>
      </c>
      <c r="I19" s="138" t="s">
        <v>101</v>
      </c>
      <c r="J19" s="138" t="s">
        <v>101</v>
      </c>
      <c r="K19" s="138">
        <v>1990</v>
      </c>
      <c r="L19" s="212" t="s">
        <v>5</v>
      </c>
      <c r="M19" s="138">
        <v>4</v>
      </c>
      <c r="N19" s="138">
        <v>130</v>
      </c>
      <c r="O19" s="138" t="s">
        <v>4</v>
      </c>
      <c r="P19" s="138" t="s">
        <v>4</v>
      </c>
      <c r="Q19" s="138" t="s">
        <v>4</v>
      </c>
      <c r="R19" s="138" t="s">
        <v>139</v>
      </c>
      <c r="S19" s="138" t="s">
        <v>101</v>
      </c>
      <c r="T19" s="138" t="s">
        <v>101</v>
      </c>
      <c r="U19" s="138">
        <v>2000</v>
      </c>
      <c r="V19" s="138" t="s">
        <v>101</v>
      </c>
      <c r="W19" s="138" t="s">
        <v>101</v>
      </c>
      <c r="X19" s="138" t="s">
        <v>193</v>
      </c>
      <c r="Y19" s="213" t="s">
        <v>4</v>
      </c>
      <c r="Z19" s="143"/>
      <c r="AA19" s="143"/>
      <c r="AB19" s="143"/>
      <c r="AC19" s="143"/>
      <c r="AD19" s="143"/>
    </row>
    <row r="20" spans="1:30" ht="50.1" customHeight="1">
      <c r="A20" s="211" t="s">
        <v>31</v>
      </c>
      <c r="B20" s="138" t="s">
        <v>101</v>
      </c>
      <c r="C20" s="138" t="s">
        <v>4</v>
      </c>
      <c r="D20" s="138" t="s">
        <v>101</v>
      </c>
      <c r="E20" s="138" t="s">
        <v>101</v>
      </c>
      <c r="F20" s="138" t="s">
        <v>101</v>
      </c>
      <c r="G20" s="138" t="s">
        <v>101</v>
      </c>
      <c r="H20" s="138" t="s">
        <v>101</v>
      </c>
      <c r="I20" s="138" t="s">
        <v>101</v>
      </c>
      <c r="J20" s="138" t="s">
        <v>101</v>
      </c>
      <c r="K20" s="138">
        <v>1995</v>
      </c>
      <c r="L20" s="212" t="s">
        <v>5</v>
      </c>
      <c r="M20" s="138">
        <v>5</v>
      </c>
      <c r="N20" s="138">
        <v>130</v>
      </c>
      <c r="O20" s="138" t="s">
        <v>4</v>
      </c>
      <c r="P20" s="138" t="s">
        <v>4</v>
      </c>
      <c r="Q20" s="138" t="s">
        <v>4</v>
      </c>
      <c r="R20" s="138" t="s">
        <v>139</v>
      </c>
      <c r="S20" s="138">
        <v>5</v>
      </c>
      <c r="T20" s="138" t="s">
        <v>101</v>
      </c>
      <c r="U20" s="138" t="s">
        <v>101</v>
      </c>
      <c r="V20" s="138" t="s">
        <v>101</v>
      </c>
      <c r="W20" s="138">
        <v>4</v>
      </c>
      <c r="X20" s="138" t="s">
        <v>193</v>
      </c>
      <c r="Y20" s="213" t="s">
        <v>101</v>
      </c>
      <c r="Z20" s="143"/>
      <c r="AA20" s="143"/>
      <c r="AB20" s="143"/>
      <c r="AC20" s="143"/>
      <c r="AD20" s="143"/>
    </row>
    <row r="21" spans="1:30" ht="50.1" customHeight="1">
      <c r="A21" s="211" t="s">
        <v>96</v>
      </c>
      <c r="B21" s="138" t="s">
        <v>101</v>
      </c>
      <c r="C21" s="138" t="s">
        <v>101</v>
      </c>
      <c r="D21" s="138" t="s">
        <v>101</v>
      </c>
      <c r="E21" s="138" t="s">
        <v>101</v>
      </c>
      <c r="F21" s="138" t="s">
        <v>4</v>
      </c>
      <c r="G21" s="138" t="s">
        <v>101</v>
      </c>
      <c r="H21" s="138" t="s">
        <v>101</v>
      </c>
      <c r="I21" s="138" t="s">
        <v>101</v>
      </c>
      <c r="J21" s="138" t="s">
        <v>101</v>
      </c>
      <c r="K21" s="138">
        <v>2015</v>
      </c>
      <c r="L21" s="212" t="s">
        <v>5</v>
      </c>
      <c r="M21" s="138">
        <v>3</v>
      </c>
      <c r="N21" s="138">
        <v>149</v>
      </c>
      <c r="O21" s="138" t="s">
        <v>4</v>
      </c>
      <c r="P21" s="138" t="s">
        <v>4</v>
      </c>
      <c r="Q21" s="138" t="s">
        <v>4</v>
      </c>
      <c r="R21" s="138" t="s">
        <v>139</v>
      </c>
      <c r="S21" s="138" t="s">
        <v>101</v>
      </c>
      <c r="T21" s="138" t="s">
        <v>101</v>
      </c>
      <c r="U21" s="138" t="s">
        <v>101</v>
      </c>
      <c r="V21" s="138" t="s">
        <v>101</v>
      </c>
      <c r="W21" s="138" t="s">
        <v>101</v>
      </c>
      <c r="X21" s="138" t="s">
        <v>666</v>
      </c>
      <c r="Y21" s="213" t="s">
        <v>4</v>
      </c>
      <c r="Z21" s="143"/>
      <c r="AA21" s="143"/>
      <c r="AB21" s="143"/>
      <c r="AC21" s="143"/>
      <c r="AD21" s="143"/>
    </row>
    <row r="22" spans="1:30" ht="50.1" customHeight="1">
      <c r="A22" s="211" t="s">
        <v>77</v>
      </c>
      <c r="B22" s="138" t="s">
        <v>101</v>
      </c>
      <c r="C22" s="138" t="s">
        <v>4</v>
      </c>
      <c r="D22" s="138" t="s">
        <v>101</v>
      </c>
      <c r="E22" s="138" t="s">
        <v>101</v>
      </c>
      <c r="F22" s="138" t="s">
        <v>101</v>
      </c>
      <c r="G22" s="138" t="s">
        <v>101</v>
      </c>
      <c r="H22" s="138" t="s">
        <v>101</v>
      </c>
      <c r="I22" s="138" t="s">
        <v>101</v>
      </c>
      <c r="J22" s="138" t="s">
        <v>101</v>
      </c>
      <c r="K22" s="138">
        <v>1980</v>
      </c>
      <c r="L22" s="212" t="s">
        <v>5</v>
      </c>
      <c r="M22" s="138">
        <v>4</v>
      </c>
      <c r="N22" s="138">
        <v>150</v>
      </c>
      <c r="O22" s="138" t="s">
        <v>4</v>
      </c>
      <c r="P22" s="138" t="s">
        <v>4</v>
      </c>
      <c r="Q22" s="138" t="s">
        <v>101</v>
      </c>
      <c r="R22" s="138" t="s">
        <v>140</v>
      </c>
      <c r="S22" s="138">
        <v>4</v>
      </c>
      <c r="T22" s="138" t="s">
        <v>101</v>
      </c>
      <c r="U22" s="138" t="s">
        <v>101</v>
      </c>
      <c r="V22" s="138" t="s">
        <v>101</v>
      </c>
      <c r="W22" s="138">
        <v>3</v>
      </c>
      <c r="X22" s="138" t="s">
        <v>193</v>
      </c>
      <c r="Y22" s="213" t="s">
        <v>101</v>
      </c>
      <c r="Z22" s="143"/>
      <c r="AA22" s="143"/>
      <c r="AB22" s="143"/>
      <c r="AC22" s="143"/>
      <c r="AD22" s="143"/>
    </row>
    <row r="23" spans="1:30" ht="50.1" customHeight="1">
      <c r="A23" s="211" t="s">
        <v>78</v>
      </c>
      <c r="B23" s="138" t="s">
        <v>101</v>
      </c>
      <c r="C23" s="138" t="s">
        <v>4</v>
      </c>
      <c r="D23" s="138" t="s">
        <v>101</v>
      </c>
      <c r="E23" s="138" t="s">
        <v>101</v>
      </c>
      <c r="F23" s="138" t="s">
        <v>101</v>
      </c>
      <c r="G23" s="138" t="s">
        <v>101</v>
      </c>
      <c r="H23" s="138" t="s">
        <v>101</v>
      </c>
      <c r="I23" s="138" t="s">
        <v>101</v>
      </c>
      <c r="J23" s="138" t="s">
        <v>101</v>
      </c>
      <c r="K23" s="138">
        <v>1985</v>
      </c>
      <c r="L23" s="212" t="s">
        <v>5</v>
      </c>
      <c r="M23" s="138">
        <v>4</v>
      </c>
      <c r="N23" s="138">
        <v>100</v>
      </c>
      <c r="O23" s="138" t="s">
        <v>101</v>
      </c>
      <c r="P23" s="138" t="s">
        <v>101</v>
      </c>
      <c r="Q23" s="138" t="s">
        <v>101</v>
      </c>
      <c r="R23" s="138" t="s">
        <v>140</v>
      </c>
      <c r="S23" s="138">
        <v>4</v>
      </c>
      <c r="T23" s="138" t="s">
        <v>101</v>
      </c>
      <c r="U23" s="138" t="s">
        <v>101</v>
      </c>
      <c r="V23" s="138" t="s">
        <v>101</v>
      </c>
      <c r="W23" s="138">
        <v>3</v>
      </c>
      <c r="X23" s="138" t="s">
        <v>193</v>
      </c>
      <c r="Y23" s="213" t="s">
        <v>101</v>
      </c>
      <c r="Z23" s="143"/>
      <c r="AA23" s="143"/>
      <c r="AB23" s="143"/>
      <c r="AC23" s="143"/>
      <c r="AD23" s="143"/>
    </row>
    <row r="24" spans="1:30" ht="50.1" customHeight="1">
      <c r="A24" s="211" t="s">
        <v>94</v>
      </c>
      <c r="B24" s="138" t="s">
        <v>101</v>
      </c>
      <c r="C24" s="138" t="s">
        <v>4</v>
      </c>
      <c r="D24" s="138" t="s">
        <v>101</v>
      </c>
      <c r="E24" s="138" t="s">
        <v>101</v>
      </c>
      <c r="F24" s="138" t="s">
        <v>101</v>
      </c>
      <c r="G24" s="138" t="s">
        <v>101</v>
      </c>
      <c r="H24" s="138" t="s">
        <v>101</v>
      </c>
      <c r="I24" s="138" t="s">
        <v>101</v>
      </c>
      <c r="J24" s="138" t="s">
        <v>101</v>
      </c>
      <c r="K24" s="138" t="s">
        <v>27</v>
      </c>
      <c r="L24" s="212" t="s">
        <v>136</v>
      </c>
      <c r="M24" s="138">
        <v>3</v>
      </c>
      <c r="N24" s="138">
        <v>45</v>
      </c>
      <c r="O24" s="138" t="s">
        <v>4</v>
      </c>
      <c r="P24" s="138" t="s">
        <v>4</v>
      </c>
      <c r="Q24" s="138" t="s">
        <v>4</v>
      </c>
      <c r="R24" s="138" t="s">
        <v>139</v>
      </c>
      <c r="S24" s="138">
        <v>1.5</v>
      </c>
      <c r="T24" s="138" t="s">
        <v>101</v>
      </c>
      <c r="U24" s="138" t="s">
        <v>101</v>
      </c>
      <c r="V24" s="138" t="s">
        <v>101</v>
      </c>
      <c r="W24" s="138">
        <v>3</v>
      </c>
      <c r="X24" s="138" t="s">
        <v>193</v>
      </c>
      <c r="Y24" s="213" t="s">
        <v>101</v>
      </c>
      <c r="Z24" s="143"/>
      <c r="AA24" s="143"/>
      <c r="AB24" s="143"/>
      <c r="AC24" s="143"/>
      <c r="AD24" s="143"/>
    </row>
    <row r="25" spans="1:30" ht="50.1" customHeight="1">
      <c r="A25" s="211" t="s">
        <v>168</v>
      </c>
      <c r="B25" s="138" t="s">
        <v>101</v>
      </c>
      <c r="C25" s="138" t="s">
        <v>4</v>
      </c>
      <c r="D25" s="138" t="s">
        <v>101</v>
      </c>
      <c r="E25" s="138" t="s">
        <v>101</v>
      </c>
      <c r="F25" s="138" t="s">
        <v>101</v>
      </c>
      <c r="G25" s="138" t="s">
        <v>101</v>
      </c>
      <c r="H25" s="138" t="s">
        <v>101</v>
      </c>
      <c r="I25" s="138" t="s">
        <v>101</v>
      </c>
      <c r="J25" s="138" t="s">
        <v>101</v>
      </c>
      <c r="K25" s="138">
        <v>1986</v>
      </c>
      <c r="L25" s="212" t="s">
        <v>7</v>
      </c>
      <c r="M25" s="138">
        <v>2</v>
      </c>
      <c r="N25" s="138">
        <v>150</v>
      </c>
      <c r="O25" s="138" t="s">
        <v>4</v>
      </c>
      <c r="P25" s="138" t="s">
        <v>4</v>
      </c>
      <c r="Q25" s="138" t="s">
        <v>4</v>
      </c>
      <c r="R25" s="138" t="s">
        <v>143</v>
      </c>
      <c r="S25" s="138">
        <v>2</v>
      </c>
      <c r="T25" s="138" t="s">
        <v>101</v>
      </c>
      <c r="U25" s="138" t="s">
        <v>101</v>
      </c>
      <c r="V25" s="138" t="s">
        <v>101</v>
      </c>
      <c r="W25" s="138">
        <v>3</v>
      </c>
      <c r="X25" s="138" t="s">
        <v>193</v>
      </c>
      <c r="Y25" s="213" t="s">
        <v>4</v>
      </c>
      <c r="Z25" s="143"/>
      <c r="AA25" s="143"/>
      <c r="AB25" s="143"/>
      <c r="AC25" s="143"/>
      <c r="AD25" s="143"/>
    </row>
    <row r="26" spans="1:30" ht="50.1" customHeight="1">
      <c r="A26" s="211" t="s">
        <v>95</v>
      </c>
      <c r="B26" s="138" t="s">
        <v>101</v>
      </c>
      <c r="C26" s="138" t="s">
        <v>4</v>
      </c>
      <c r="D26" s="138" t="s">
        <v>101</v>
      </c>
      <c r="E26" s="138" t="s">
        <v>101</v>
      </c>
      <c r="F26" s="138" t="s">
        <v>101</v>
      </c>
      <c r="G26" s="138" t="s">
        <v>101</v>
      </c>
      <c r="H26" s="138" t="s">
        <v>101</v>
      </c>
      <c r="I26" s="138" t="s">
        <v>101</v>
      </c>
      <c r="J26" s="138" t="s">
        <v>101</v>
      </c>
      <c r="K26" s="138" t="s">
        <v>27</v>
      </c>
      <c r="L26" s="212" t="s">
        <v>136</v>
      </c>
      <c r="M26" s="138">
        <v>4</v>
      </c>
      <c r="N26" s="138">
        <v>35</v>
      </c>
      <c r="O26" s="138" t="s">
        <v>101</v>
      </c>
      <c r="P26" s="138" t="s">
        <v>101</v>
      </c>
      <c r="Q26" s="138" t="s">
        <v>101</v>
      </c>
      <c r="R26" s="138" t="s">
        <v>139</v>
      </c>
      <c r="S26" s="138" t="s">
        <v>101</v>
      </c>
      <c r="T26" s="138" t="s">
        <v>101</v>
      </c>
      <c r="U26" s="138" t="s">
        <v>101</v>
      </c>
      <c r="V26" s="138" t="s">
        <v>101</v>
      </c>
      <c r="W26" s="138" t="s">
        <v>101</v>
      </c>
      <c r="X26" s="138" t="s">
        <v>666</v>
      </c>
      <c r="Y26" s="213" t="s">
        <v>101</v>
      </c>
      <c r="Z26" s="143"/>
      <c r="AA26" s="143"/>
      <c r="AB26" s="143"/>
      <c r="AC26" s="143"/>
      <c r="AD26" s="143"/>
    </row>
    <row r="27" spans="1:30" ht="50.1" customHeight="1">
      <c r="A27" s="211" t="s">
        <v>34</v>
      </c>
      <c r="B27" s="138" t="s">
        <v>101</v>
      </c>
      <c r="C27" s="138" t="s">
        <v>4</v>
      </c>
      <c r="D27" s="138" t="s">
        <v>101</v>
      </c>
      <c r="E27" s="138" t="s">
        <v>101</v>
      </c>
      <c r="F27" s="138" t="s">
        <v>101</v>
      </c>
      <c r="G27" s="138" t="s">
        <v>101</v>
      </c>
      <c r="H27" s="138" t="s">
        <v>101</v>
      </c>
      <c r="I27" s="138" t="s">
        <v>101</v>
      </c>
      <c r="J27" s="138" t="s">
        <v>101</v>
      </c>
      <c r="K27" s="138">
        <v>2000</v>
      </c>
      <c r="L27" s="212" t="s">
        <v>5</v>
      </c>
      <c r="M27" s="138">
        <v>5</v>
      </c>
      <c r="N27" s="138">
        <v>150</v>
      </c>
      <c r="O27" s="138" t="s">
        <v>4</v>
      </c>
      <c r="P27" s="138" t="s">
        <v>4</v>
      </c>
      <c r="Q27" s="138" t="s">
        <v>4</v>
      </c>
      <c r="R27" s="138" t="s">
        <v>143</v>
      </c>
      <c r="S27" s="138">
        <v>5</v>
      </c>
      <c r="T27" s="138" t="s">
        <v>101</v>
      </c>
      <c r="U27" s="138" t="s">
        <v>101</v>
      </c>
      <c r="V27" s="138" t="s">
        <v>101</v>
      </c>
      <c r="W27" s="138">
        <v>3</v>
      </c>
      <c r="X27" s="138" t="s">
        <v>193</v>
      </c>
      <c r="Y27" s="213" t="s">
        <v>4</v>
      </c>
      <c r="Z27" s="143"/>
      <c r="AA27" s="143"/>
      <c r="AB27" s="143"/>
      <c r="AC27" s="143"/>
      <c r="AD27" s="143"/>
    </row>
    <row r="28" spans="1:30" ht="50.1" customHeight="1">
      <c r="A28" s="211" t="s">
        <v>22</v>
      </c>
      <c r="B28" s="138" t="s">
        <v>101</v>
      </c>
      <c r="C28" s="138" t="s">
        <v>4</v>
      </c>
      <c r="D28" s="138" t="s">
        <v>101</v>
      </c>
      <c r="E28" s="138" t="s">
        <v>101</v>
      </c>
      <c r="F28" s="138" t="s">
        <v>101</v>
      </c>
      <c r="G28" s="138" t="s">
        <v>101</v>
      </c>
      <c r="H28" s="138" t="s">
        <v>101</v>
      </c>
      <c r="I28" s="138" t="s">
        <v>101</v>
      </c>
      <c r="J28" s="138" t="s">
        <v>101</v>
      </c>
      <c r="K28" s="138">
        <v>1995</v>
      </c>
      <c r="L28" s="212" t="s">
        <v>136</v>
      </c>
      <c r="M28" s="138">
        <v>4</v>
      </c>
      <c r="N28" s="138">
        <v>100</v>
      </c>
      <c r="O28" s="138" t="s">
        <v>4</v>
      </c>
      <c r="P28" s="138" t="s">
        <v>4</v>
      </c>
      <c r="Q28" s="138" t="s">
        <v>4</v>
      </c>
      <c r="R28" s="138" t="s">
        <v>143</v>
      </c>
      <c r="S28" s="138">
        <v>4</v>
      </c>
      <c r="T28" s="138" t="s">
        <v>101</v>
      </c>
      <c r="U28" s="138" t="s">
        <v>101</v>
      </c>
      <c r="V28" s="138" t="s">
        <v>101</v>
      </c>
      <c r="W28" s="138">
        <v>2</v>
      </c>
      <c r="X28" s="138" t="s">
        <v>193</v>
      </c>
      <c r="Y28" s="213" t="s">
        <v>4</v>
      </c>
      <c r="Z28" s="143"/>
      <c r="AA28" s="143"/>
      <c r="AB28" s="143"/>
      <c r="AC28" s="143"/>
      <c r="AD28" s="143"/>
    </row>
    <row r="29" spans="1:30" ht="50.1" customHeight="1">
      <c r="A29" s="211" t="s">
        <v>206</v>
      </c>
      <c r="B29" s="138" t="s">
        <v>4</v>
      </c>
      <c r="C29" s="138" t="s">
        <v>101</v>
      </c>
      <c r="D29" s="138" t="s">
        <v>101</v>
      </c>
      <c r="E29" s="138" t="s">
        <v>101</v>
      </c>
      <c r="F29" s="138" t="s">
        <v>101</v>
      </c>
      <c r="G29" s="138" t="s">
        <v>101</v>
      </c>
      <c r="H29" s="138" t="s">
        <v>101</v>
      </c>
      <c r="I29" s="138" t="s">
        <v>101</v>
      </c>
      <c r="J29" s="138" t="s">
        <v>101</v>
      </c>
      <c r="K29" s="138">
        <v>2003</v>
      </c>
      <c r="L29" s="212" t="s">
        <v>136</v>
      </c>
      <c r="M29" s="138">
        <v>4</v>
      </c>
      <c r="N29" s="138">
        <v>190</v>
      </c>
      <c r="O29" s="138" t="s">
        <v>4</v>
      </c>
      <c r="P29" s="138" t="s">
        <v>4</v>
      </c>
      <c r="Q29" s="138" t="s">
        <v>4</v>
      </c>
      <c r="R29" s="138" t="s">
        <v>139</v>
      </c>
      <c r="S29" s="138" t="s">
        <v>101</v>
      </c>
      <c r="T29" s="138">
        <v>5.5</v>
      </c>
      <c r="U29" s="138" t="s">
        <v>101</v>
      </c>
      <c r="V29" s="138" t="s">
        <v>101</v>
      </c>
      <c r="W29" s="138" t="s">
        <v>101</v>
      </c>
      <c r="X29" s="138">
        <v>5350</v>
      </c>
      <c r="Y29" s="213" t="s">
        <v>101</v>
      </c>
      <c r="Z29" s="143"/>
      <c r="AA29" s="143"/>
      <c r="AB29" s="143"/>
      <c r="AC29" s="143"/>
      <c r="AD29" s="143"/>
    </row>
    <row r="30" spans="1:30" ht="50.1" customHeight="1">
      <c r="A30" s="211" t="s">
        <v>205</v>
      </c>
      <c r="B30" s="138" t="s">
        <v>101</v>
      </c>
      <c r="C30" s="138" t="s">
        <v>4</v>
      </c>
      <c r="D30" s="138" t="s">
        <v>101</v>
      </c>
      <c r="E30" s="138" t="s">
        <v>101</v>
      </c>
      <c r="F30" s="138" t="s">
        <v>101</v>
      </c>
      <c r="G30" s="138" t="s">
        <v>101</v>
      </c>
      <c r="H30" s="138" t="s">
        <v>101</v>
      </c>
      <c r="I30" s="138" t="s">
        <v>101</v>
      </c>
      <c r="J30" s="138" t="s">
        <v>101</v>
      </c>
      <c r="K30" s="138">
        <v>1990</v>
      </c>
      <c r="L30" s="212" t="s">
        <v>5</v>
      </c>
      <c r="M30" s="138">
        <v>4</v>
      </c>
      <c r="N30" s="138">
        <v>150</v>
      </c>
      <c r="O30" s="138" t="s">
        <v>4</v>
      </c>
      <c r="P30" s="138" t="s">
        <v>4</v>
      </c>
      <c r="Q30" s="138" t="s">
        <v>4</v>
      </c>
      <c r="R30" s="138" t="s">
        <v>143</v>
      </c>
      <c r="S30" s="138">
        <v>5</v>
      </c>
      <c r="T30" s="138" t="s">
        <v>101</v>
      </c>
      <c r="U30" s="138" t="s">
        <v>101</v>
      </c>
      <c r="V30" s="138" t="s">
        <v>101</v>
      </c>
      <c r="W30" s="138">
        <v>3</v>
      </c>
      <c r="X30" s="138" t="s">
        <v>193</v>
      </c>
      <c r="Y30" s="213" t="s">
        <v>101</v>
      </c>
      <c r="Z30" s="143"/>
      <c r="AA30" s="143"/>
      <c r="AB30" s="143"/>
      <c r="AC30" s="143"/>
      <c r="AD30" s="143"/>
    </row>
    <row r="31" spans="1:30" ht="50.1" customHeight="1">
      <c r="A31" s="211" t="s">
        <v>205</v>
      </c>
      <c r="B31" s="138" t="s">
        <v>101</v>
      </c>
      <c r="C31" s="138" t="s">
        <v>101</v>
      </c>
      <c r="D31" s="138" t="s">
        <v>101</v>
      </c>
      <c r="E31" s="138" t="s">
        <v>101</v>
      </c>
      <c r="F31" s="138" t="s">
        <v>101</v>
      </c>
      <c r="G31" s="138" t="s">
        <v>4</v>
      </c>
      <c r="H31" s="138" t="s">
        <v>101</v>
      </c>
      <c r="I31" s="138" t="s">
        <v>101</v>
      </c>
      <c r="J31" s="138" t="s">
        <v>101</v>
      </c>
      <c r="K31" s="138">
        <v>2014</v>
      </c>
      <c r="L31" s="212" t="s">
        <v>5</v>
      </c>
      <c r="M31" s="138" t="s">
        <v>27</v>
      </c>
      <c r="N31" s="138">
        <v>150</v>
      </c>
      <c r="O31" s="138" t="s">
        <v>4</v>
      </c>
      <c r="P31" s="138" t="s">
        <v>4</v>
      </c>
      <c r="Q31" s="138" t="s">
        <v>4</v>
      </c>
      <c r="R31" s="138" t="s">
        <v>143</v>
      </c>
      <c r="S31" s="138" t="s">
        <v>101</v>
      </c>
      <c r="T31" s="138" t="s">
        <v>101</v>
      </c>
      <c r="U31" s="138" t="s">
        <v>101</v>
      </c>
      <c r="V31" s="138" t="s">
        <v>101</v>
      </c>
      <c r="W31" s="138" t="s">
        <v>101</v>
      </c>
      <c r="X31" s="138" t="s">
        <v>666</v>
      </c>
      <c r="Y31" s="213" t="s">
        <v>101</v>
      </c>
      <c r="Z31" s="143"/>
      <c r="AA31" s="143"/>
      <c r="AB31" s="143"/>
      <c r="AC31" s="143"/>
      <c r="AD31" s="143"/>
    </row>
    <row r="32" spans="1:30" ht="50.1" customHeight="1">
      <c r="A32" s="211" t="s">
        <v>128</v>
      </c>
      <c r="B32" s="138" t="s">
        <v>101</v>
      </c>
      <c r="C32" s="138" t="s">
        <v>4</v>
      </c>
      <c r="D32" s="138" t="s">
        <v>101</v>
      </c>
      <c r="E32" s="138" t="s">
        <v>101</v>
      </c>
      <c r="F32" s="138" t="s">
        <v>101</v>
      </c>
      <c r="G32" s="138" t="s">
        <v>101</v>
      </c>
      <c r="H32" s="138" t="s">
        <v>101</v>
      </c>
      <c r="I32" s="138" t="s">
        <v>101</v>
      </c>
      <c r="J32" s="138" t="s">
        <v>101</v>
      </c>
      <c r="K32" s="138">
        <v>1978</v>
      </c>
      <c r="L32" s="212" t="s">
        <v>7</v>
      </c>
      <c r="M32" s="138">
        <v>5</v>
      </c>
      <c r="N32" s="138">
        <v>80</v>
      </c>
      <c r="O32" s="138" t="s">
        <v>4</v>
      </c>
      <c r="P32" s="138" t="s">
        <v>4</v>
      </c>
      <c r="Q32" s="138" t="s">
        <v>4</v>
      </c>
      <c r="R32" s="138" t="s">
        <v>143</v>
      </c>
      <c r="S32" s="138">
        <v>4</v>
      </c>
      <c r="T32" s="138" t="s">
        <v>101</v>
      </c>
      <c r="U32" s="138" t="s">
        <v>101</v>
      </c>
      <c r="V32" s="138" t="s">
        <v>101</v>
      </c>
      <c r="W32" s="138">
        <v>2</v>
      </c>
      <c r="X32" s="138">
        <v>3500</v>
      </c>
      <c r="Y32" s="213" t="s">
        <v>101</v>
      </c>
      <c r="Z32" s="143"/>
      <c r="AA32" s="143"/>
      <c r="AB32" s="143"/>
      <c r="AC32" s="143"/>
      <c r="AD32" s="143"/>
    </row>
    <row r="33" spans="1:30" ht="50.1" customHeight="1">
      <c r="A33" s="211" t="s">
        <v>189</v>
      </c>
      <c r="B33" s="138" t="s">
        <v>101</v>
      </c>
      <c r="C33" s="138" t="s">
        <v>4</v>
      </c>
      <c r="D33" s="138" t="s">
        <v>101</v>
      </c>
      <c r="E33" s="138" t="s">
        <v>101</v>
      </c>
      <c r="F33" s="138" t="s">
        <v>101</v>
      </c>
      <c r="G33" s="138" t="s">
        <v>101</v>
      </c>
      <c r="H33" s="138" t="s">
        <v>101</v>
      </c>
      <c r="I33" s="138" t="s">
        <v>101</v>
      </c>
      <c r="J33" s="138" t="s">
        <v>101</v>
      </c>
      <c r="K33" s="138">
        <v>1980</v>
      </c>
      <c r="L33" s="212" t="s">
        <v>5</v>
      </c>
      <c r="M33" s="138">
        <v>2</v>
      </c>
      <c r="N33" s="138">
        <v>70</v>
      </c>
      <c r="O33" s="138" t="s">
        <v>101</v>
      </c>
      <c r="P33" s="138" t="s">
        <v>4</v>
      </c>
      <c r="Q33" s="138" t="s">
        <v>101</v>
      </c>
      <c r="R33" s="138" t="s">
        <v>143</v>
      </c>
      <c r="S33" s="138">
        <v>2</v>
      </c>
      <c r="T33" s="138" t="s">
        <v>101</v>
      </c>
      <c r="U33" s="138" t="s">
        <v>101</v>
      </c>
      <c r="V33" s="138" t="s">
        <v>101</v>
      </c>
      <c r="W33" s="138">
        <v>3</v>
      </c>
      <c r="X33" s="138" t="s">
        <v>193</v>
      </c>
      <c r="Y33" s="213" t="s">
        <v>101</v>
      </c>
      <c r="Z33" s="143"/>
      <c r="AA33" s="143"/>
      <c r="AB33" s="143"/>
      <c r="AC33" s="143"/>
      <c r="AD33" s="143"/>
    </row>
    <row r="34" spans="1:30" ht="50.1" customHeight="1">
      <c r="A34" s="211" t="s">
        <v>190</v>
      </c>
      <c r="B34" s="138" t="s">
        <v>101</v>
      </c>
      <c r="C34" s="138" t="s">
        <v>4</v>
      </c>
      <c r="D34" s="138" t="s">
        <v>101</v>
      </c>
      <c r="E34" s="138" t="s">
        <v>101</v>
      </c>
      <c r="F34" s="138" t="s">
        <v>101</v>
      </c>
      <c r="G34" s="138" t="s">
        <v>101</v>
      </c>
      <c r="H34" s="138" t="s">
        <v>101</v>
      </c>
      <c r="I34" s="138" t="s">
        <v>101</v>
      </c>
      <c r="J34" s="138" t="s">
        <v>101</v>
      </c>
      <c r="K34" s="138">
        <v>1988</v>
      </c>
      <c r="L34" s="212" t="s">
        <v>5</v>
      </c>
      <c r="M34" s="138">
        <v>4</v>
      </c>
      <c r="N34" s="138">
        <v>200</v>
      </c>
      <c r="O34" s="138" t="s">
        <v>4</v>
      </c>
      <c r="P34" s="138" t="s">
        <v>4</v>
      </c>
      <c r="Q34" s="138" t="s">
        <v>101</v>
      </c>
      <c r="R34" s="138" t="s">
        <v>143</v>
      </c>
      <c r="S34" s="138">
        <v>4.5</v>
      </c>
      <c r="T34" s="138" t="s">
        <v>101</v>
      </c>
      <c r="U34" s="138" t="s">
        <v>101</v>
      </c>
      <c r="V34" s="138" t="s">
        <v>101</v>
      </c>
      <c r="W34" s="138">
        <v>5</v>
      </c>
      <c r="X34" s="138" t="s">
        <v>193</v>
      </c>
      <c r="Y34" s="213" t="s">
        <v>101</v>
      </c>
      <c r="Z34" s="143"/>
      <c r="AA34" s="143"/>
      <c r="AB34" s="143"/>
      <c r="AC34" s="143"/>
      <c r="AD34" s="143"/>
    </row>
    <row r="35" spans="1:30" ht="50.1" customHeight="1">
      <c r="A35" s="211" t="s">
        <v>79</v>
      </c>
      <c r="B35" s="138" t="s">
        <v>101</v>
      </c>
      <c r="C35" s="138" t="s">
        <v>4</v>
      </c>
      <c r="D35" s="138" t="s">
        <v>101</v>
      </c>
      <c r="E35" s="138" t="s">
        <v>101</v>
      </c>
      <c r="F35" s="138" t="s">
        <v>101</v>
      </c>
      <c r="G35" s="138" t="s">
        <v>101</v>
      </c>
      <c r="H35" s="138" t="s">
        <v>101</v>
      </c>
      <c r="I35" s="138" t="s">
        <v>101</v>
      </c>
      <c r="J35" s="138" t="s">
        <v>101</v>
      </c>
      <c r="K35" s="138">
        <v>1985</v>
      </c>
      <c r="L35" s="212" t="s">
        <v>136</v>
      </c>
      <c r="M35" s="138">
        <v>5</v>
      </c>
      <c r="N35" s="138">
        <v>150</v>
      </c>
      <c r="O35" s="138" t="s">
        <v>4</v>
      </c>
      <c r="P35" s="138" t="s">
        <v>4</v>
      </c>
      <c r="Q35" s="138" t="s">
        <v>4</v>
      </c>
      <c r="R35" s="138" t="s">
        <v>140</v>
      </c>
      <c r="S35" s="138" t="s">
        <v>101</v>
      </c>
      <c r="T35" s="138" t="s">
        <v>101</v>
      </c>
      <c r="U35" s="138" t="s">
        <v>101</v>
      </c>
      <c r="V35" s="138" t="s">
        <v>101</v>
      </c>
      <c r="W35" s="138" t="s">
        <v>101</v>
      </c>
      <c r="X35" s="138" t="s">
        <v>666</v>
      </c>
      <c r="Y35" s="213" t="s">
        <v>101</v>
      </c>
      <c r="Z35" s="143"/>
      <c r="AA35" s="143"/>
      <c r="AB35" s="143"/>
      <c r="AC35" s="143"/>
      <c r="AD35" s="143"/>
    </row>
    <row r="36" spans="1:30" ht="50.1" customHeight="1">
      <c r="A36" s="211" t="s">
        <v>29</v>
      </c>
      <c r="B36" s="138" t="s">
        <v>101</v>
      </c>
      <c r="C36" s="138" t="s">
        <v>4</v>
      </c>
      <c r="D36" s="138" t="s">
        <v>101</v>
      </c>
      <c r="E36" s="138" t="s">
        <v>101</v>
      </c>
      <c r="F36" s="138" t="s">
        <v>101</v>
      </c>
      <c r="G36" s="138" t="s">
        <v>101</v>
      </c>
      <c r="H36" s="138" t="s">
        <v>101</v>
      </c>
      <c r="I36" s="138" t="s">
        <v>101</v>
      </c>
      <c r="J36" s="138" t="s">
        <v>101</v>
      </c>
      <c r="K36" s="138">
        <v>1980</v>
      </c>
      <c r="L36" s="212" t="s">
        <v>136</v>
      </c>
      <c r="M36" s="138">
        <v>5</v>
      </c>
      <c r="N36" s="138">
        <v>120</v>
      </c>
      <c r="O36" s="138" t="s">
        <v>4</v>
      </c>
      <c r="P36" s="138" t="s">
        <v>4</v>
      </c>
      <c r="Q36" s="138" t="s">
        <v>4</v>
      </c>
      <c r="R36" s="138" t="s">
        <v>139</v>
      </c>
      <c r="S36" s="138" t="s">
        <v>101</v>
      </c>
      <c r="T36" s="138" t="s">
        <v>101</v>
      </c>
      <c r="U36" s="138" t="s">
        <v>101</v>
      </c>
      <c r="V36" s="138" t="s">
        <v>101</v>
      </c>
      <c r="W36" s="138" t="s">
        <v>101</v>
      </c>
      <c r="X36" s="138" t="s">
        <v>666</v>
      </c>
      <c r="Y36" s="213" t="s">
        <v>101</v>
      </c>
      <c r="Z36" s="143"/>
      <c r="AA36" s="143"/>
      <c r="AB36" s="143"/>
      <c r="AC36" s="143"/>
      <c r="AD36" s="143"/>
    </row>
    <row r="37" spans="1:30" ht="50.1" customHeight="1">
      <c r="A37" s="211" t="s">
        <v>129</v>
      </c>
      <c r="B37" s="138" t="s">
        <v>4</v>
      </c>
      <c r="C37" s="138" t="s">
        <v>101</v>
      </c>
      <c r="D37" s="138" t="s">
        <v>101</v>
      </c>
      <c r="E37" s="138" t="s">
        <v>101</v>
      </c>
      <c r="F37" s="138" t="s">
        <v>101</v>
      </c>
      <c r="G37" s="138" t="s">
        <v>101</v>
      </c>
      <c r="H37" s="138" t="s">
        <v>101</v>
      </c>
      <c r="I37" s="138" t="s">
        <v>101</v>
      </c>
      <c r="J37" s="138" t="s">
        <v>101</v>
      </c>
      <c r="K37" s="138">
        <v>1983</v>
      </c>
      <c r="L37" s="212" t="s">
        <v>5</v>
      </c>
      <c r="M37" s="138">
        <v>3</v>
      </c>
      <c r="N37" s="138">
        <v>160</v>
      </c>
      <c r="O37" s="138" t="s">
        <v>4</v>
      </c>
      <c r="P37" s="138" t="s">
        <v>4</v>
      </c>
      <c r="Q37" s="138" t="s">
        <v>4</v>
      </c>
      <c r="R37" s="138" t="s">
        <v>143</v>
      </c>
      <c r="S37" s="138" t="s">
        <v>101</v>
      </c>
      <c r="T37" s="138">
        <v>6</v>
      </c>
      <c r="U37" s="138" t="s">
        <v>101</v>
      </c>
      <c r="V37" s="138" t="s">
        <v>101</v>
      </c>
      <c r="W37" s="138" t="s">
        <v>101</v>
      </c>
      <c r="X37" s="138">
        <v>5400</v>
      </c>
      <c r="Y37" s="213" t="s">
        <v>101</v>
      </c>
      <c r="Z37" s="143"/>
      <c r="AA37" s="143"/>
      <c r="AB37" s="143"/>
      <c r="AC37" s="143"/>
      <c r="AD37" s="143"/>
    </row>
    <row r="38" spans="1:30" ht="50.1" customHeight="1">
      <c r="A38" s="211" t="s">
        <v>75</v>
      </c>
      <c r="B38" s="138" t="s">
        <v>101</v>
      </c>
      <c r="C38" s="138" t="s">
        <v>4</v>
      </c>
      <c r="D38" s="138" t="s">
        <v>101</v>
      </c>
      <c r="E38" s="138" t="s">
        <v>101</v>
      </c>
      <c r="F38" s="138" t="s">
        <v>101</v>
      </c>
      <c r="G38" s="138" t="s">
        <v>101</v>
      </c>
      <c r="H38" s="138" t="s">
        <v>101</v>
      </c>
      <c r="I38" s="138" t="s">
        <v>101</v>
      </c>
      <c r="J38" s="138" t="s">
        <v>101</v>
      </c>
      <c r="K38" s="138">
        <v>2005</v>
      </c>
      <c r="L38" s="212" t="s">
        <v>5</v>
      </c>
      <c r="M38" s="138">
        <v>4</v>
      </c>
      <c r="N38" s="138">
        <v>130</v>
      </c>
      <c r="O38" s="138" t="s">
        <v>4</v>
      </c>
      <c r="P38" s="138" t="s">
        <v>4</v>
      </c>
      <c r="Q38" s="138" t="s">
        <v>4</v>
      </c>
      <c r="R38" s="138" t="s">
        <v>143</v>
      </c>
      <c r="S38" s="138">
        <v>5</v>
      </c>
      <c r="T38" s="138" t="s">
        <v>101</v>
      </c>
      <c r="U38" s="138" t="s">
        <v>101</v>
      </c>
      <c r="V38" s="138" t="s">
        <v>101</v>
      </c>
      <c r="W38" s="138">
        <v>5</v>
      </c>
      <c r="X38" s="138" t="s">
        <v>193</v>
      </c>
      <c r="Y38" s="213" t="s">
        <v>4</v>
      </c>
      <c r="Z38" s="143"/>
      <c r="AA38" s="143"/>
      <c r="AB38" s="143"/>
      <c r="AC38" s="143"/>
      <c r="AD38" s="143"/>
    </row>
    <row r="39" spans="1:30" ht="50.1" customHeight="1">
      <c r="A39" s="211" t="s">
        <v>74</v>
      </c>
      <c r="B39" s="138" t="s">
        <v>101</v>
      </c>
      <c r="C39" s="138" t="s">
        <v>4</v>
      </c>
      <c r="D39" s="138" t="s">
        <v>101</v>
      </c>
      <c r="E39" s="138" t="s">
        <v>101</v>
      </c>
      <c r="F39" s="138" t="s">
        <v>101</v>
      </c>
      <c r="G39" s="138" t="s">
        <v>101</v>
      </c>
      <c r="H39" s="138" t="s">
        <v>101</v>
      </c>
      <c r="I39" s="138" t="s">
        <v>101</v>
      </c>
      <c r="J39" s="138" t="s">
        <v>101</v>
      </c>
      <c r="K39" s="138">
        <v>1950</v>
      </c>
      <c r="L39" s="212" t="s">
        <v>5</v>
      </c>
      <c r="M39" s="138">
        <v>3</v>
      </c>
      <c r="N39" s="138">
        <v>100</v>
      </c>
      <c r="O39" s="138" t="s">
        <v>101</v>
      </c>
      <c r="P39" s="138" t="s">
        <v>4</v>
      </c>
      <c r="Q39" s="138" t="s">
        <v>101</v>
      </c>
      <c r="R39" s="138" t="s">
        <v>143</v>
      </c>
      <c r="S39" s="138">
        <v>3</v>
      </c>
      <c r="T39" s="138" t="s">
        <v>101</v>
      </c>
      <c r="U39" s="138" t="s">
        <v>101</v>
      </c>
      <c r="V39" s="138" t="s">
        <v>101</v>
      </c>
      <c r="W39" s="138">
        <v>2</v>
      </c>
      <c r="X39" s="138" t="s">
        <v>193</v>
      </c>
      <c r="Y39" s="213" t="s">
        <v>101</v>
      </c>
      <c r="Z39" s="143"/>
      <c r="AA39" s="143"/>
      <c r="AB39" s="143"/>
      <c r="AC39" s="143"/>
      <c r="AD39" s="143"/>
    </row>
    <row r="40" spans="1:30" ht="50.1" customHeight="1">
      <c r="A40" s="211" t="s">
        <v>73</v>
      </c>
      <c r="B40" s="138" t="s">
        <v>101</v>
      </c>
      <c r="C40" s="138" t="s">
        <v>4</v>
      </c>
      <c r="D40" s="138" t="s">
        <v>101</v>
      </c>
      <c r="E40" s="138" t="s">
        <v>101</v>
      </c>
      <c r="F40" s="138" t="s">
        <v>101</v>
      </c>
      <c r="G40" s="138" t="s">
        <v>101</v>
      </c>
      <c r="H40" s="138" t="s">
        <v>101</v>
      </c>
      <c r="I40" s="138" t="s">
        <v>101</v>
      </c>
      <c r="J40" s="138" t="s">
        <v>101</v>
      </c>
      <c r="K40" s="138">
        <v>1955</v>
      </c>
      <c r="L40" s="212" t="s">
        <v>136</v>
      </c>
      <c r="M40" s="138">
        <v>5</v>
      </c>
      <c r="N40" s="138">
        <v>150</v>
      </c>
      <c r="O40" s="138" t="s">
        <v>4</v>
      </c>
      <c r="P40" s="138" t="s">
        <v>4</v>
      </c>
      <c r="Q40" s="138" t="s">
        <v>4</v>
      </c>
      <c r="R40" s="138" t="s">
        <v>140</v>
      </c>
      <c r="S40" s="138">
        <v>4</v>
      </c>
      <c r="T40" s="138" t="s">
        <v>101</v>
      </c>
      <c r="U40" s="138" t="s">
        <v>101</v>
      </c>
      <c r="V40" s="138" t="s">
        <v>101</v>
      </c>
      <c r="W40" s="138">
        <v>3</v>
      </c>
      <c r="X40" s="138" t="s">
        <v>193</v>
      </c>
      <c r="Y40" s="213" t="s">
        <v>4</v>
      </c>
      <c r="Z40" s="143"/>
      <c r="AA40" s="143"/>
      <c r="AB40" s="143"/>
      <c r="AC40" s="143"/>
      <c r="AD40" s="143"/>
    </row>
    <row r="41" spans="1:30" ht="50.1" customHeight="1">
      <c r="A41" s="211" t="s">
        <v>72</v>
      </c>
      <c r="B41" s="138" t="s">
        <v>101</v>
      </c>
      <c r="C41" s="138" t="s">
        <v>4</v>
      </c>
      <c r="D41" s="138" t="s">
        <v>101</v>
      </c>
      <c r="E41" s="138" t="s">
        <v>101</v>
      </c>
      <c r="F41" s="138" t="s">
        <v>101</v>
      </c>
      <c r="G41" s="138" t="s">
        <v>101</v>
      </c>
      <c r="H41" s="138" t="s">
        <v>101</v>
      </c>
      <c r="I41" s="138" t="s">
        <v>101</v>
      </c>
      <c r="J41" s="138" t="s">
        <v>101</v>
      </c>
      <c r="K41" s="138">
        <v>1990</v>
      </c>
      <c r="L41" s="212" t="s">
        <v>5</v>
      </c>
      <c r="M41" s="138">
        <v>5</v>
      </c>
      <c r="N41" s="138">
        <v>180</v>
      </c>
      <c r="O41" s="138" t="s">
        <v>4</v>
      </c>
      <c r="P41" s="138" t="s">
        <v>4</v>
      </c>
      <c r="Q41" s="138" t="s">
        <v>4</v>
      </c>
      <c r="R41" s="138" t="s">
        <v>140</v>
      </c>
      <c r="S41" s="138">
        <v>6</v>
      </c>
      <c r="T41" s="138" t="s">
        <v>101</v>
      </c>
      <c r="U41" s="138" t="s">
        <v>101</v>
      </c>
      <c r="V41" s="138" t="s">
        <v>101</v>
      </c>
      <c r="W41" s="138">
        <v>3</v>
      </c>
      <c r="X41" s="138" t="s">
        <v>193</v>
      </c>
      <c r="Y41" s="213" t="s">
        <v>4</v>
      </c>
      <c r="Z41" s="143"/>
      <c r="AA41" s="143"/>
      <c r="AB41" s="143"/>
      <c r="AC41" s="143"/>
      <c r="AD41" s="143"/>
    </row>
    <row r="42" spans="1:30" ht="50.1" customHeight="1">
      <c r="A42" s="211" t="s">
        <v>212</v>
      </c>
      <c r="B42" s="138" t="s">
        <v>101</v>
      </c>
      <c r="C42" s="138" t="s">
        <v>101</v>
      </c>
      <c r="D42" s="138" t="s">
        <v>101</v>
      </c>
      <c r="E42" s="138" t="s">
        <v>101</v>
      </c>
      <c r="F42" s="138" t="s">
        <v>4</v>
      </c>
      <c r="G42" s="138" t="s">
        <v>101</v>
      </c>
      <c r="H42" s="138" t="s">
        <v>101</v>
      </c>
      <c r="I42" s="138" t="s">
        <v>101</v>
      </c>
      <c r="J42" s="138" t="s">
        <v>101</v>
      </c>
      <c r="K42" s="138">
        <v>1990</v>
      </c>
      <c r="L42" s="212" t="s">
        <v>5</v>
      </c>
      <c r="M42" s="138">
        <v>6</v>
      </c>
      <c r="N42" s="138">
        <v>160</v>
      </c>
      <c r="O42" s="138" t="s">
        <v>4</v>
      </c>
      <c r="P42" s="138" t="s">
        <v>4</v>
      </c>
      <c r="Q42" s="138" t="s">
        <v>4</v>
      </c>
      <c r="R42" s="138" t="s">
        <v>143</v>
      </c>
      <c r="S42" s="138" t="s">
        <v>101</v>
      </c>
      <c r="T42" s="138" t="s">
        <v>101</v>
      </c>
      <c r="U42" s="138" t="s">
        <v>101</v>
      </c>
      <c r="V42" s="138" t="s">
        <v>101</v>
      </c>
      <c r="W42" s="138" t="s">
        <v>101</v>
      </c>
      <c r="X42" s="138" t="s">
        <v>193</v>
      </c>
      <c r="Y42" s="213" t="s">
        <v>101</v>
      </c>
      <c r="Z42" s="143"/>
      <c r="AA42" s="143"/>
      <c r="AB42" s="143"/>
      <c r="AC42" s="143"/>
      <c r="AD42" s="143"/>
    </row>
    <row r="43" spans="1:30" ht="50.1" customHeight="1">
      <c r="A43" s="211" t="s">
        <v>211</v>
      </c>
      <c r="B43" s="138" t="s">
        <v>101</v>
      </c>
      <c r="C43" s="138" t="s">
        <v>4</v>
      </c>
      <c r="D43" s="138" t="s">
        <v>101</v>
      </c>
      <c r="E43" s="138" t="s">
        <v>101</v>
      </c>
      <c r="F43" s="138" t="s">
        <v>101</v>
      </c>
      <c r="G43" s="138" t="s">
        <v>101</v>
      </c>
      <c r="H43" s="138" t="s">
        <v>101</v>
      </c>
      <c r="I43" s="138" t="s">
        <v>101</v>
      </c>
      <c r="J43" s="138" t="s">
        <v>101</v>
      </c>
      <c r="K43" s="138">
        <v>1996</v>
      </c>
      <c r="L43" s="212" t="s">
        <v>7</v>
      </c>
      <c r="M43" s="138">
        <v>6</v>
      </c>
      <c r="N43" s="138">
        <v>160</v>
      </c>
      <c r="O43" s="138" t="s">
        <v>4</v>
      </c>
      <c r="P43" s="138" t="s">
        <v>4</v>
      </c>
      <c r="Q43" s="138" t="s">
        <v>4</v>
      </c>
      <c r="R43" s="138" t="s">
        <v>143</v>
      </c>
      <c r="S43" s="138">
        <v>6</v>
      </c>
      <c r="T43" s="138" t="s">
        <v>101</v>
      </c>
      <c r="U43" s="138" t="s">
        <v>101</v>
      </c>
      <c r="V43" s="138" t="s">
        <v>101</v>
      </c>
      <c r="W43" s="138" t="s">
        <v>101</v>
      </c>
      <c r="X43" s="138" t="s">
        <v>193</v>
      </c>
      <c r="Y43" s="213" t="s">
        <v>4</v>
      </c>
      <c r="Z43" s="143"/>
      <c r="AA43" s="143"/>
      <c r="AB43" s="143"/>
      <c r="AC43" s="143"/>
      <c r="AD43" s="143"/>
    </row>
    <row r="44" spans="1:30" ht="50.1" customHeight="1">
      <c r="A44" s="211" t="s">
        <v>210</v>
      </c>
      <c r="B44" s="138" t="s">
        <v>101</v>
      </c>
      <c r="C44" s="138" t="s">
        <v>4</v>
      </c>
      <c r="D44" s="138" t="s">
        <v>101</v>
      </c>
      <c r="E44" s="138" t="s">
        <v>101</v>
      </c>
      <c r="F44" s="138" t="s">
        <v>101</v>
      </c>
      <c r="G44" s="138" t="s">
        <v>101</v>
      </c>
      <c r="H44" s="138" t="s">
        <v>101</v>
      </c>
      <c r="I44" s="138" t="s">
        <v>101</v>
      </c>
      <c r="J44" s="138" t="s">
        <v>101</v>
      </c>
      <c r="K44" s="138">
        <v>1973</v>
      </c>
      <c r="L44" s="212" t="s">
        <v>5</v>
      </c>
      <c r="M44" s="138">
        <v>3</v>
      </c>
      <c r="N44" s="138">
        <v>130</v>
      </c>
      <c r="O44" s="138" t="s">
        <v>101</v>
      </c>
      <c r="P44" s="138" t="s">
        <v>4</v>
      </c>
      <c r="Q44" s="138" t="s">
        <v>4</v>
      </c>
      <c r="R44" s="138" t="s">
        <v>143</v>
      </c>
      <c r="S44" s="138">
        <v>4</v>
      </c>
      <c r="T44" s="138" t="s">
        <v>101</v>
      </c>
      <c r="U44" s="138" t="s">
        <v>101</v>
      </c>
      <c r="V44" s="138" t="s">
        <v>101</v>
      </c>
      <c r="W44" s="138">
        <v>4</v>
      </c>
      <c r="X44" s="138" t="s">
        <v>193</v>
      </c>
      <c r="Y44" s="213" t="s">
        <v>4</v>
      </c>
      <c r="Z44" s="143"/>
      <c r="AA44" s="143"/>
      <c r="AB44" s="143"/>
      <c r="AC44" s="143"/>
      <c r="AD44" s="143"/>
    </row>
    <row r="45" spans="1:30" ht="50.1" customHeight="1">
      <c r="A45" s="211" t="s">
        <v>26</v>
      </c>
      <c r="B45" s="138" t="s">
        <v>101</v>
      </c>
      <c r="C45" s="138" t="s">
        <v>4</v>
      </c>
      <c r="D45" s="138" t="s">
        <v>101</v>
      </c>
      <c r="E45" s="138" t="s">
        <v>101</v>
      </c>
      <c r="F45" s="138" t="s">
        <v>101</v>
      </c>
      <c r="G45" s="138" t="s">
        <v>101</v>
      </c>
      <c r="H45" s="138" t="s">
        <v>101</v>
      </c>
      <c r="I45" s="138" t="s">
        <v>101</v>
      </c>
      <c r="J45" s="138" t="s">
        <v>101</v>
      </c>
      <c r="K45" s="138">
        <v>2005</v>
      </c>
      <c r="L45" s="212" t="s">
        <v>5</v>
      </c>
      <c r="M45" s="138">
        <v>3</v>
      </c>
      <c r="N45" s="138">
        <v>150</v>
      </c>
      <c r="O45" s="138" t="s">
        <v>4</v>
      </c>
      <c r="P45" s="138" t="s">
        <v>4</v>
      </c>
      <c r="Q45" s="138" t="s">
        <v>4</v>
      </c>
      <c r="R45" s="138" t="s">
        <v>139</v>
      </c>
      <c r="S45" s="138" t="s">
        <v>101</v>
      </c>
      <c r="T45" s="138" t="s">
        <v>101</v>
      </c>
      <c r="U45" s="138" t="s">
        <v>101</v>
      </c>
      <c r="V45" s="138" t="s">
        <v>101</v>
      </c>
      <c r="W45" s="138">
        <v>10</v>
      </c>
      <c r="X45" s="138" t="s">
        <v>193</v>
      </c>
      <c r="Y45" s="213" t="s">
        <v>4</v>
      </c>
      <c r="Z45" s="143"/>
      <c r="AA45" s="143"/>
      <c r="AB45" s="143"/>
      <c r="AC45" s="143"/>
      <c r="AD45" s="143"/>
    </row>
    <row r="46" spans="1:30" ht="50.1" customHeight="1">
      <c r="A46" s="211" t="s">
        <v>148</v>
      </c>
      <c r="B46" s="138" t="s">
        <v>101</v>
      </c>
      <c r="C46" s="138" t="s">
        <v>101</v>
      </c>
      <c r="D46" s="138" t="s">
        <v>101</v>
      </c>
      <c r="E46" s="138" t="s">
        <v>101</v>
      </c>
      <c r="F46" s="138" t="s">
        <v>4</v>
      </c>
      <c r="G46" s="138" t="s">
        <v>101</v>
      </c>
      <c r="H46" s="138" t="s">
        <v>101</v>
      </c>
      <c r="I46" s="138" t="s">
        <v>101</v>
      </c>
      <c r="J46" s="138" t="s">
        <v>101</v>
      </c>
      <c r="K46" s="138">
        <v>2011</v>
      </c>
      <c r="L46" s="212" t="s">
        <v>5</v>
      </c>
      <c r="M46" s="138">
        <v>5</v>
      </c>
      <c r="N46" s="138">
        <v>150</v>
      </c>
      <c r="O46" s="138" t="s">
        <v>4</v>
      </c>
      <c r="P46" s="138" t="s">
        <v>4</v>
      </c>
      <c r="Q46" s="138" t="s">
        <v>4</v>
      </c>
      <c r="R46" s="138" t="s">
        <v>192</v>
      </c>
      <c r="S46" s="138" t="s">
        <v>101</v>
      </c>
      <c r="T46" s="138" t="s">
        <v>101</v>
      </c>
      <c r="U46" s="138">
        <v>2200</v>
      </c>
      <c r="V46" s="138" t="s">
        <v>101</v>
      </c>
      <c r="W46" s="138" t="s">
        <v>101</v>
      </c>
      <c r="X46" s="138" t="s">
        <v>193</v>
      </c>
      <c r="Y46" s="213"/>
      <c r="Z46" s="143"/>
      <c r="AA46" s="143"/>
      <c r="AB46" s="143"/>
      <c r="AC46" s="143"/>
      <c r="AD46" s="143"/>
    </row>
    <row r="47" spans="1:30" ht="50.1" customHeight="1">
      <c r="A47" s="211" t="s">
        <v>154</v>
      </c>
      <c r="B47" s="138" t="s">
        <v>4</v>
      </c>
      <c r="C47" s="138" t="s">
        <v>101</v>
      </c>
      <c r="D47" s="138" t="s">
        <v>101</v>
      </c>
      <c r="E47" s="138" t="s">
        <v>101</v>
      </c>
      <c r="F47" s="138" t="s">
        <v>4</v>
      </c>
      <c r="G47" s="138" t="s">
        <v>101</v>
      </c>
      <c r="H47" s="138" t="s">
        <v>101</v>
      </c>
      <c r="I47" s="138" t="s">
        <v>101</v>
      </c>
      <c r="J47" s="138" t="s">
        <v>101</v>
      </c>
      <c r="K47" s="138">
        <v>2011</v>
      </c>
      <c r="L47" s="212" t="s">
        <v>5</v>
      </c>
      <c r="M47" s="138">
        <v>4</v>
      </c>
      <c r="N47" s="138">
        <v>130</v>
      </c>
      <c r="O47" s="138" t="s">
        <v>4</v>
      </c>
      <c r="P47" s="138" t="s">
        <v>4</v>
      </c>
      <c r="Q47" s="138" t="s">
        <v>4</v>
      </c>
      <c r="R47" s="138" t="s">
        <v>143</v>
      </c>
      <c r="S47" s="138" t="s">
        <v>101</v>
      </c>
      <c r="T47" s="138" t="s">
        <v>101</v>
      </c>
      <c r="U47" s="138">
        <v>2000</v>
      </c>
      <c r="V47" s="138" t="s">
        <v>101</v>
      </c>
      <c r="W47" s="138" t="s">
        <v>101</v>
      </c>
      <c r="X47" s="138" t="s">
        <v>193</v>
      </c>
      <c r="Y47" s="213" t="s">
        <v>4</v>
      </c>
      <c r="Z47" s="143"/>
      <c r="AA47" s="143"/>
      <c r="AB47" s="143"/>
      <c r="AC47" s="143"/>
      <c r="AD47" s="143"/>
    </row>
    <row r="48" spans="1:30" ht="50.1" customHeight="1">
      <c r="A48" s="211" t="s">
        <v>16</v>
      </c>
      <c r="B48" s="138" t="s">
        <v>101</v>
      </c>
      <c r="C48" s="138" t="s">
        <v>4</v>
      </c>
      <c r="D48" s="138" t="s">
        <v>101</v>
      </c>
      <c r="E48" s="138" t="s">
        <v>101</v>
      </c>
      <c r="F48" s="138" t="s">
        <v>101</v>
      </c>
      <c r="G48" s="138" t="s">
        <v>101</v>
      </c>
      <c r="H48" s="138" t="s">
        <v>101</v>
      </c>
      <c r="I48" s="138" t="s">
        <v>101</v>
      </c>
      <c r="J48" s="138" t="s">
        <v>101</v>
      </c>
      <c r="K48" s="138">
        <v>1950</v>
      </c>
      <c r="L48" s="212" t="s">
        <v>137</v>
      </c>
      <c r="M48" s="138"/>
      <c r="N48" s="138">
        <v>80</v>
      </c>
      <c r="O48" s="138" t="s">
        <v>4</v>
      </c>
      <c r="P48" s="138" t="s">
        <v>4</v>
      </c>
      <c r="Q48" s="138" t="s">
        <v>4</v>
      </c>
      <c r="R48" s="138" t="s">
        <v>143</v>
      </c>
      <c r="S48" s="138">
        <v>4</v>
      </c>
      <c r="T48" s="138" t="s">
        <v>101</v>
      </c>
      <c r="U48" s="138" t="s">
        <v>101</v>
      </c>
      <c r="V48" s="138" t="s">
        <v>101</v>
      </c>
      <c r="W48" s="138" t="s">
        <v>101</v>
      </c>
      <c r="X48" s="138" t="s">
        <v>193</v>
      </c>
      <c r="Y48" s="213" t="s">
        <v>101</v>
      </c>
      <c r="Z48" s="143"/>
      <c r="AA48" s="143"/>
      <c r="AB48" s="143"/>
      <c r="AC48" s="143"/>
      <c r="AD48" s="143"/>
    </row>
    <row r="49" spans="1:30" ht="50.1" customHeight="1">
      <c r="A49" s="211" t="s">
        <v>23</v>
      </c>
      <c r="B49" s="138" t="s">
        <v>4</v>
      </c>
      <c r="C49" s="138" t="s">
        <v>101</v>
      </c>
      <c r="D49" s="138" t="s">
        <v>101</v>
      </c>
      <c r="E49" s="138" t="s">
        <v>101</v>
      </c>
      <c r="F49" s="138" t="s">
        <v>101</v>
      </c>
      <c r="G49" s="138" t="s">
        <v>101</v>
      </c>
      <c r="H49" s="138" t="s">
        <v>101</v>
      </c>
      <c r="I49" s="138" t="s">
        <v>101</v>
      </c>
      <c r="J49" s="138" t="s">
        <v>101</v>
      </c>
      <c r="K49" s="138">
        <v>2000</v>
      </c>
      <c r="L49" s="212" t="s">
        <v>136</v>
      </c>
      <c r="M49" s="138">
        <v>4</v>
      </c>
      <c r="N49" s="138">
        <v>90</v>
      </c>
      <c r="O49" s="138" t="s">
        <v>4</v>
      </c>
      <c r="P49" s="138" t="s">
        <v>4</v>
      </c>
      <c r="Q49" s="138" t="s">
        <v>4</v>
      </c>
      <c r="R49" s="138" t="s">
        <v>143</v>
      </c>
      <c r="S49" s="138">
        <v>7</v>
      </c>
      <c r="T49" s="138" t="s">
        <v>101</v>
      </c>
      <c r="U49" s="138" t="s">
        <v>101</v>
      </c>
      <c r="V49" s="138" t="s">
        <v>101</v>
      </c>
      <c r="W49" s="138" t="s">
        <v>101</v>
      </c>
      <c r="X49" s="138">
        <v>3400</v>
      </c>
      <c r="Y49" s="213" t="s">
        <v>4</v>
      </c>
      <c r="Z49" s="143"/>
      <c r="AA49" s="143"/>
      <c r="AB49" s="143"/>
      <c r="AC49" s="143"/>
      <c r="AD49" s="143"/>
    </row>
    <row r="50" spans="1:30" ht="50.1" customHeight="1">
      <c r="A50" s="211" t="s">
        <v>182</v>
      </c>
      <c r="B50" s="138" t="s">
        <v>101</v>
      </c>
      <c r="C50" s="138" t="s">
        <v>4</v>
      </c>
      <c r="D50" s="138" t="s">
        <v>101</v>
      </c>
      <c r="E50" s="138" t="s">
        <v>101</v>
      </c>
      <c r="F50" s="138" t="s">
        <v>101</v>
      </c>
      <c r="G50" s="138" t="s">
        <v>101</v>
      </c>
      <c r="H50" s="138" t="s">
        <v>101</v>
      </c>
      <c r="I50" s="138" t="s">
        <v>101</v>
      </c>
      <c r="J50" s="138" t="s">
        <v>101</v>
      </c>
      <c r="K50" s="138">
        <v>1950</v>
      </c>
      <c r="L50" s="212" t="s">
        <v>137</v>
      </c>
      <c r="M50" s="138">
        <v>5</v>
      </c>
      <c r="N50" s="138">
        <v>200</v>
      </c>
      <c r="O50" s="138" t="s">
        <v>4</v>
      </c>
      <c r="P50" s="138" t="s">
        <v>4</v>
      </c>
      <c r="Q50" s="138" t="s">
        <v>4</v>
      </c>
      <c r="R50" s="138" t="s">
        <v>139</v>
      </c>
      <c r="S50" s="138">
        <v>6</v>
      </c>
      <c r="T50" s="138" t="s">
        <v>101</v>
      </c>
      <c r="U50" s="138" t="s">
        <v>101</v>
      </c>
      <c r="V50" s="138" t="s">
        <v>101</v>
      </c>
      <c r="W50" s="138" t="s">
        <v>101</v>
      </c>
      <c r="X50" s="138" t="s">
        <v>193</v>
      </c>
      <c r="Y50" s="213" t="s">
        <v>101</v>
      </c>
      <c r="Z50" s="143"/>
      <c r="AA50" s="143"/>
      <c r="AB50" s="143"/>
      <c r="AC50" s="143"/>
      <c r="AD50" s="143"/>
    </row>
    <row r="51" spans="1:30" ht="50.1" customHeight="1">
      <c r="A51" s="211" t="s">
        <v>204</v>
      </c>
      <c r="B51" s="138" t="s">
        <v>4</v>
      </c>
      <c r="C51" s="138" t="s">
        <v>101</v>
      </c>
      <c r="D51" s="138" t="s">
        <v>101</v>
      </c>
      <c r="E51" s="138" t="s">
        <v>101</v>
      </c>
      <c r="F51" s="138" t="s">
        <v>101</v>
      </c>
      <c r="G51" s="138" t="s">
        <v>101</v>
      </c>
      <c r="H51" s="138" t="s">
        <v>101</v>
      </c>
      <c r="I51" s="138" t="s">
        <v>101</v>
      </c>
      <c r="J51" s="138" t="s">
        <v>101</v>
      </c>
      <c r="K51" s="138">
        <v>1985</v>
      </c>
      <c r="L51" s="212" t="s">
        <v>5</v>
      </c>
      <c r="M51" s="138">
        <v>2</v>
      </c>
      <c r="N51" s="138">
        <v>80</v>
      </c>
      <c r="O51" s="138" t="s">
        <v>101</v>
      </c>
      <c r="P51" s="138" t="s">
        <v>4</v>
      </c>
      <c r="Q51" s="138" t="s">
        <v>101</v>
      </c>
      <c r="R51" s="138" t="s">
        <v>143</v>
      </c>
      <c r="S51" s="138" t="s">
        <v>101</v>
      </c>
      <c r="T51" s="138" t="s">
        <v>101</v>
      </c>
      <c r="U51" s="138" t="s">
        <v>101</v>
      </c>
      <c r="V51" s="138" t="s">
        <v>101</v>
      </c>
      <c r="W51" s="138" t="s">
        <v>101</v>
      </c>
      <c r="X51" s="138" t="s">
        <v>666</v>
      </c>
      <c r="Y51" s="213" t="s">
        <v>101</v>
      </c>
      <c r="Z51" s="143"/>
      <c r="AA51" s="143"/>
      <c r="AB51" s="143"/>
      <c r="AC51" s="143"/>
      <c r="AD51" s="143"/>
    </row>
    <row r="52" spans="1:30" ht="50.1" customHeight="1">
      <c r="A52" s="211" t="s">
        <v>217</v>
      </c>
      <c r="B52" s="138" t="s">
        <v>101</v>
      </c>
      <c r="C52" s="138" t="s">
        <v>4</v>
      </c>
      <c r="D52" s="138" t="s">
        <v>101</v>
      </c>
      <c r="E52" s="138" t="s">
        <v>101</v>
      </c>
      <c r="F52" s="138" t="s">
        <v>101</v>
      </c>
      <c r="G52" s="138" t="s">
        <v>101</v>
      </c>
      <c r="H52" s="138" t="s">
        <v>101</v>
      </c>
      <c r="I52" s="138" t="s">
        <v>101</v>
      </c>
      <c r="J52" s="138" t="s">
        <v>101</v>
      </c>
      <c r="K52" s="138">
        <v>1975</v>
      </c>
      <c r="L52" s="212" t="s">
        <v>5</v>
      </c>
      <c r="M52" s="138">
        <v>4</v>
      </c>
      <c r="N52" s="138">
        <v>120</v>
      </c>
      <c r="O52" s="138" t="s">
        <v>4</v>
      </c>
      <c r="P52" s="138" t="s">
        <v>4</v>
      </c>
      <c r="Q52" s="138" t="s">
        <v>4</v>
      </c>
      <c r="R52" s="138" t="s">
        <v>143</v>
      </c>
      <c r="S52" s="138">
        <v>5</v>
      </c>
      <c r="T52" s="138" t="s">
        <v>101</v>
      </c>
      <c r="U52" s="138" t="s">
        <v>101</v>
      </c>
      <c r="V52" s="138" t="s">
        <v>101</v>
      </c>
      <c r="W52" s="138">
        <v>3</v>
      </c>
      <c r="X52" s="138" t="s">
        <v>193</v>
      </c>
      <c r="Y52" s="213" t="s">
        <v>4</v>
      </c>
      <c r="Z52" s="143"/>
      <c r="AA52" s="143"/>
      <c r="AB52" s="143"/>
      <c r="AC52" s="143"/>
      <c r="AD52" s="143"/>
    </row>
    <row r="53" spans="1:30" ht="50.1" customHeight="1">
      <c r="A53" s="211" t="s">
        <v>71</v>
      </c>
      <c r="B53" s="138" t="s">
        <v>4</v>
      </c>
      <c r="C53" s="138" t="s">
        <v>101</v>
      </c>
      <c r="D53" s="138" t="s">
        <v>101</v>
      </c>
      <c r="E53" s="138" t="s">
        <v>101</v>
      </c>
      <c r="F53" s="138" t="s">
        <v>4</v>
      </c>
      <c r="G53" s="138" t="s">
        <v>101</v>
      </c>
      <c r="H53" s="138" t="s">
        <v>101</v>
      </c>
      <c r="I53" s="138" t="s">
        <v>101</v>
      </c>
      <c r="J53" s="138" t="s">
        <v>101</v>
      </c>
      <c r="K53" s="138">
        <v>2005</v>
      </c>
      <c r="L53" s="212" t="s">
        <v>136</v>
      </c>
      <c r="M53" s="138">
        <v>3</v>
      </c>
      <c r="N53" s="138">
        <v>110</v>
      </c>
      <c r="O53" s="138" t="s">
        <v>4</v>
      </c>
      <c r="P53" s="138" t="s">
        <v>4</v>
      </c>
      <c r="Q53" s="138" t="s">
        <v>4</v>
      </c>
      <c r="R53" s="138" t="s">
        <v>140</v>
      </c>
      <c r="S53" s="138">
        <v>4</v>
      </c>
      <c r="T53" s="138" t="s">
        <v>101</v>
      </c>
      <c r="U53" s="138" t="s">
        <v>101</v>
      </c>
      <c r="V53" s="138" t="s">
        <v>101</v>
      </c>
      <c r="W53" s="138">
        <v>1</v>
      </c>
      <c r="X53" s="138" t="s">
        <v>193</v>
      </c>
      <c r="Y53" s="213" t="s">
        <v>4</v>
      </c>
      <c r="Z53" s="143"/>
      <c r="AA53" s="143"/>
      <c r="AB53" s="143"/>
      <c r="AC53" s="143"/>
      <c r="AD53" s="143"/>
    </row>
    <row r="54" spans="1:30" ht="50.1" customHeight="1">
      <c r="A54" s="211" t="s">
        <v>67</v>
      </c>
      <c r="B54" s="138" t="s">
        <v>101</v>
      </c>
      <c r="C54" s="138" t="s">
        <v>4</v>
      </c>
      <c r="D54" s="138" t="s">
        <v>101</v>
      </c>
      <c r="E54" s="138" t="s">
        <v>101</v>
      </c>
      <c r="F54" s="138" t="s">
        <v>101</v>
      </c>
      <c r="G54" s="138" t="s">
        <v>101</v>
      </c>
      <c r="H54" s="138" t="s">
        <v>101</v>
      </c>
      <c r="I54" s="138" t="s">
        <v>101</v>
      </c>
      <c r="J54" s="138" t="s">
        <v>101</v>
      </c>
      <c r="K54" s="138">
        <v>1980</v>
      </c>
      <c r="L54" s="212" t="s">
        <v>136</v>
      </c>
      <c r="M54" s="138">
        <v>4</v>
      </c>
      <c r="N54" s="138">
        <v>120</v>
      </c>
      <c r="O54" s="138" t="s">
        <v>4</v>
      </c>
      <c r="P54" s="138" t="s">
        <v>4</v>
      </c>
      <c r="Q54" s="138" t="s">
        <v>4</v>
      </c>
      <c r="R54" s="138" t="s">
        <v>140</v>
      </c>
      <c r="S54" s="138">
        <v>5</v>
      </c>
      <c r="T54" s="138" t="s">
        <v>101</v>
      </c>
      <c r="U54" s="138" t="s">
        <v>101</v>
      </c>
      <c r="V54" s="138" t="s">
        <v>101</v>
      </c>
      <c r="W54" s="138">
        <v>1</v>
      </c>
      <c r="X54" s="138" t="s">
        <v>193</v>
      </c>
      <c r="Y54" s="213" t="s">
        <v>101</v>
      </c>
      <c r="Z54" s="143"/>
      <c r="AA54" s="143"/>
      <c r="AB54" s="143"/>
      <c r="AC54" s="143"/>
      <c r="AD54" s="143"/>
    </row>
    <row r="55" spans="1:30" ht="50.1" customHeight="1">
      <c r="A55" s="211" t="s">
        <v>70</v>
      </c>
      <c r="B55" s="138" t="s">
        <v>101</v>
      </c>
      <c r="C55" s="138" t="s">
        <v>4</v>
      </c>
      <c r="D55" s="138" t="s">
        <v>101</v>
      </c>
      <c r="E55" s="138" t="s">
        <v>101</v>
      </c>
      <c r="F55" s="138" t="s">
        <v>101</v>
      </c>
      <c r="G55" s="138" t="s">
        <v>101</v>
      </c>
      <c r="H55" s="138" t="s">
        <v>101</v>
      </c>
      <c r="I55" s="138" t="s">
        <v>101</v>
      </c>
      <c r="J55" s="138" t="s">
        <v>101</v>
      </c>
      <c r="K55" s="138">
        <v>1950</v>
      </c>
      <c r="L55" s="212" t="s">
        <v>7</v>
      </c>
      <c r="M55" s="138">
        <v>4</v>
      </c>
      <c r="N55" s="138">
        <v>100</v>
      </c>
      <c r="O55" s="138" t="s">
        <v>101</v>
      </c>
      <c r="P55" s="138" t="s">
        <v>101</v>
      </c>
      <c r="Q55" s="138" t="s">
        <v>101</v>
      </c>
      <c r="R55" s="138" t="s">
        <v>139</v>
      </c>
      <c r="S55" s="138">
        <v>3</v>
      </c>
      <c r="T55" s="138" t="s">
        <v>101</v>
      </c>
      <c r="U55" s="138" t="s">
        <v>101</v>
      </c>
      <c r="V55" s="138" t="s">
        <v>101</v>
      </c>
      <c r="W55" s="138">
        <v>3</v>
      </c>
      <c r="X55" s="138" t="s">
        <v>193</v>
      </c>
      <c r="Y55" s="213" t="s">
        <v>101</v>
      </c>
      <c r="Z55" s="143"/>
      <c r="AA55" s="143"/>
      <c r="AB55" s="143"/>
      <c r="AC55" s="143"/>
      <c r="AD55" s="143"/>
    </row>
    <row r="56" spans="1:30" ht="50.1" customHeight="1">
      <c r="A56" s="211" t="s">
        <v>69</v>
      </c>
      <c r="B56" s="138" t="s">
        <v>101</v>
      </c>
      <c r="C56" s="138" t="s">
        <v>4</v>
      </c>
      <c r="D56" s="138" t="s">
        <v>101</v>
      </c>
      <c r="E56" s="138" t="s">
        <v>101</v>
      </c>
      <c r="F56" s="138" t="s">
        <v>101</v>
      </c>
      <c r="G56" s="138" t="s">
        <v>101</v>
      </c>
      <c r="H56" s="138" t="s">
        <v>101</v>
      </c>
      <c r="I56" s="138" t="s">
        <v>101</v>
      </c>
      <c r="J56" s="138" t="s">
        <v>101</v>
      </c>
      <c r="K56" s="138">
        <v>1995</v>
      </c>
      <c r="L56" s="212" t="s">
        <v>5</v>
      </c>
      <c r="M56" s="138">
        <v>3</v>
      </c>
      <c r="N56" s="138">
        <v>120</v>
      </c>
      <c r="O56" s="138" t="s">
        <v>4</v>
      </c>
      <c r="P56" s="138" t="s">
        <v>4</v>
      </c>
      <c r="Q56" s="138" t="s">
        <v>4</v>
      </c>
      <c r="R56" s="138" t="s">
        <v>143</v>
      </c>
      <c r="S56" s="138">
        <v>5</v>
      </c>
      <c r="T56" s="138" t="s">
        <v>101</v>
      </c>
      <c r="U56" s="138" t="s">
        <v>101</v>
      </c>
      <c r="V56" s="138" t="s">
        <v>101</v>
      </c>
      <c r="W56" s="138">
        <v>2</v>
      </c>
      <c r="X56" s="138" t="s">
        <v>193</v>
      </c>
      <c r="Y56" s="213" t="s">
        <v>4</v>
      </c>
      <c r="Z56" s="143"/>
      <c r="AA56" s="143"/>
      <c r="AB56" s="143"/>
      <c r="AC56" s="143"/>
      <c r="AD56" s="143"/>
    </row>
    <row r="57" spans="1:30" ht="50.1" customHeight="1">
      <c r="A57" s="211" t="s">
        <v>68</v>
      </c>
      <c r="B57" s="138" t="s">
        <v>101</v>
      </c>
      <c r="C57" s="138" t="s">
        <v>4</v>
      </c>
      <c r="D57" s="138" t="s">
        <v>101</v>
      </c>
      <c r="E57" s="138" t="s">
        <v>101</v>
      </c>
      <c r="F57" s="138" t="s">
        <v>101</v>
      </c>
      <c r="G57" s="138" t="s">
        <v>101</v>
      </c>
      <c r="H57" s="138" t="s">
        <v>101</v>
      </c>
      <c r="I57" s="138" t="s">
        <v>101</v>
      </c>
      <c r="J57" s="138" t="s">
        <v>101</v>
      </c>
      <c r="K57" s="138">
        <v>1950</v>
      </c>
      <c r="L57" s="212" t="s">
        <v>136</v>
      </c>
      <c r="M57" s="138">
        <v>4</v>
      </c>
      <c r="N57" s="138">
        <v>100</v>
      </c>
      <c r="O57" s="138" t="s">
        <v>4</v>
      </c>
      <c r="P57" s="138" t="s">
        <v>4</v>
      </c>
      <c r="Q57" s="138" t="s">
        <v>4</v>
      </c>
      <c r="R57" s="138" t="s">
        <v>140</v>
      </c>
      <c r="S57" s="138">
        <v>4</v>
      </c>
      <c r="T57" s="138" t="s">
        <v>101</v>
      </c>
      <c r="U57" s="138" t="s">
        <v>101</v>
      </c>
      <c r="V57" s="138" t="s">
        <v>101</v>
      </c>
      <c r="W57" s="138">
        <v>1</v>
      </c>
      <c r="X57" s="138" t="s">
        <v>193</v>
      </c>
      <c r="Y57" s="213" t="s">
        <v>4</v>
      </c>
      <c r="Z57" s="143"/>
      <c r="AA57" s="143"/>
      <c r="AB57" s="143"/>
      <c r="AC57" s="143"/>
      <c r="AD57" s="143"/>
    </row>
    <row r="58" spans="1:30" ht="50.1" customHeight="1">
      <c r="A58" s="211" t="s">
        <v>63</v>
      </c>
      <c r="B58" s="138" t="s">
        <v>101</v>
      </c>
      <c r="C58" s="138" t="s">
        <v>4</v>
      </c>
      <c r="D58" s="138" t="s">
        <v>101</v>
      </c>
      <c r="E58" s="138" t="s">
        <v>101</v>
      </c>
      <c r="F58" s="138" t="s">
        <v>101</v>
      </c>
      <c r="G58" s="138" t="s">
        <v>101</v>
      </c>
      <c r="H58" s="138" t="s">
        <v>101</v>
      </c>
      <c r="I58" s="138" t="s">
        <v>101</v>
      </c>
      <c r="J58" s="138" t="s">
        <v>101</v>
      </c>
      <c r="K58" s="138">
        <v>2005</v>
      </c>
      <c r="L58" s="212" t="s">
        <v>5</v>
      </c>
      <c r="M58" s="138">
        <v>5</v>
      </c>
      <c r="N58" s="138">
        <v>150</v>
      </c>
      <c r="O58" s="138" t="s">
        <v>4</v>
      </c>
      <c r="P58" s="138" t="s">
        <v>4</v>
      </c>
      <c r="Q58" s="138" t="s">
        <v>4</v>
      </c>
      <c r="R58" s="138" t="s">
        <v>143</v>
      </c>
      <c r="S58" s="138">
        <v>5</v>
      </c>
      <c r="T58" s="138" t="s">
        <v>101</v>
      </c>
      <c r="U58" s="138" t="s">
        <v>101</v>
      </c>
      <c r="V58" s="138" t="s">
        <v>101</v>
      </c>
      <c r="W58" s="138">
        <v>4</v>
      </c>
      <c r="X58" s="138" t="s">
        <v>193</v>
      </c>
      <c r="Y58" s="213" t="s">
        <v>4</v>
      </c>
      <c r="Z58" s="143"/>
      <c r="AA58" s="143"/>
      <c r="AB58" s="143"/>
      <c r="AC58" s="143"/>
      <c r="AD58" s="143"/>
    </row>
    <row r="59" spans="1:30" ht="50.1" customHeight="1">
      <c r="A59" s="211" t="s">
        <v>66</v>
      </c>
      <c r="B59" s="138" t="s">
        <v>101</v>
      </c>
      <c r="C59" s="138" t="s">
        <v>4</v>
      </c>
      <c r="D59" s="138" t="s">
        <v>101</v>
      </c>
      <c r="E59" s="138" t="s">
        <v>101</v>
      </c>
      <c r="F59" s="138" t="s">
        <v>101</v>
      </c>
      <c r="G59" s="138" t="s">
        <v>101</v>
      </c>
      <c r="H59" s="138" t="s">
        <v>101</v>
      </c>
      <c r="I59" s="138" t="s">
        <v>101</v>
      </c>
      <c r="J59" s="138" t="s">
        <v>101</v>
      </c>
      <c r="K59" s="138">
        <v>1950</v>
      </c>
      <c r="L59" s="212" t="s">
        <v>136</v>
      </c>
      <c r="M59" s="138">
        <v>5</v>
      </c>
      <c r="N59" s="138">
        <v>150</v>
      </c>
      <c r="O59" s="138" t="s">
        <v>4</v>
      </c>
      <c r="P59" s="138" t="s">
        <v>4</v>
      </c>
      <c r="Q59" s="138" t="s">
        <v>4</v>
      </c>
      <c r="R59" s="138" t="s">
        <v>146</v>
      </c>
      <c r="S59" s="138">
        <v>5</v>
      </c>
      <c r="T59" s="138" t="s">
        <v>101</v>
      </c>
      <c r="U59" s="138" t="s">
        <v>101</v>
      </c>
      <c r="V59" s="138" t="s">
        <v>101</v>
      </c>
      <c r="W59" s="138">
        <v>1</v>
      </c>
      <c r="X59" s="138" t="s">
        <v>193</v>
      </c>
      <c r="Y59" s="213" t="s">
        <v>4</v>
      </c>
      <c r="Z59" s="143"/>
      <c r="AA59" s="143"/>
      <c r="AB59" s="143"/>
      <c r="AC59" s="143"/>
      <c r="AD59" s="143"/>
    </row>
    <row r="60" spans="1:30" ht="50.1" customHeight="1">
      <c r="A60" s="211" t="s">
        <v>30</v>
      </c>
      <c r="B60" s="138" t="s">
        <v>101</v>
      </c>
      <c r="C60" s="138" t="s">
        <v>4</v>
      </c>
      <c r="D60" s="138" t="s">
        <v>101</v>
      </c>
      <c r="E60" s="138" t="s">
        <v>101</v>
      </c>
      <c r="F60" s="138" t="s">
        <v>101</v>
      </c>
      <c r="G60" s="138" t="s">
        <v>101</v>
      </c>
      <c r="H60" s="138" t="s">
        <v>101</v>
      </c>
      <c r="I60" s="138" t="s">
        <v>101</v>
      </c>
      <c r="J60" s="138" t="s">
        <v>101</v>
      </c>
      <c r="K60" s="138">
        <v>1985</v>
      </c>
      <c r="L60" s="212" t="s">
        <v>5</v>
      </c>
      <c r="M60" s="138">
        <v>5</v>
      </c>
      <c r="N60" s="138">
        <v>130</v>
      </c>
      <c r="O60" s="138" t="s">
        <v>4</v>
      </c>
      <c r="P60" s="138" t="s">
        <v>4</v>
      </c>
      <c r="Q60" s="138" t="s">
        <v>4</v>
      </c>
      <c r="R60" s="138" t="s">
        <v>139</v>
      </c>
      <c r="S60" s="138">
        <v>5</v>
      </c>
      <c r="T60" s="138" t="s">
        <v>101</v>
      </c>
      <c r="U60" s="138" t="s">
        <v>101</v>
      </c>
      <c r="V60" s="138" t="s">
        <v>101</v>
      </c>
      <c r="W60" s="138">
        <v>2</v>
      </c>
      <c r="X60" s="138" t="s">
        <v>193</v>
      </c>
      <c r="Y60" s="213" t="s">
        <v>101</v>
      </c>
      <c r="Z60" s="143"/>
      <c r="AA60" s="143"/>
      <c r="AB60" s="143"/>
      <c r="AC60" s="143"/>
      <c r="AD60" s="143"/>
    </row>
    <row r="61" spans="1:30" ht="50.1" customHeight="1">
      <c r="A61" s="211" t="s">
        <v>44</v>
      </c>
      <c r="B61" s="138" t="s">
        <v>101</v>
      </c>
      <c r="C61" s="138" t="s">
        <v>4</v>
      </c>
      <c r="D61" s="138" t="s">
        <v>101</v>
      </c>
      <c r="E61" s="138" t="s">
        <v>101</v>
      </c>
      <c r="F61" s="138" t="s">
        <v>101</v>
      </c>
      <c r="G61" s="138" t="s">
        <v>101</v>
      </c>
      <c r="H61" s="138" t="s">
        <v>101</v>
      </c>
      <c r="I61" s="138" t="s">
        <v>101</v>
      </c>
      <c r="J61" s="138" t="s">
        <v>101</v>
      </c>
      <c r="K61" s="138">
        <v>1980</v>
      </c>
      <c r="L61" s="212" t="s">
        <v>137</v>
      </c>
      <c r="M61" s="138">
        <v>1</v>
      </c>
      <c r="N61" s="138">
        <v>110</v>
      </c>
      <c r="O61" s="138" t="s">
        <v>4</v>
      </c>
      <c r="P61" s="138" t="s">
        <v>4</v>
      </c>
      <c r="Q61" s="138" t="s">
        <v>4</v>
      </c>
      <c r="R61" s="138" t="s">
        <v>144</v>
      </c>
      <c r="S61" s="138">
        <v>6</v>
      </c>
      <c r="T61" s="138" t="s">
        <v>101</v>
      </c>
      <c r="U61" s="138" t="s">
        <v>101</v>
      </c>
      <c r="V61" s="138" t="s">
        <v>101</v>
      </c>
      <c r="W61" s="138">
        <v>1</v>
      </c>
      <c r="X61" s="138" t="s">
        <v>193</v>
      </c>
      <c r="Y61" s="213" t="s">
        <v>101</v>
      </c>
      <c r="Z61" s="143"/>
      <c r="AA61" s="143"/>
      <c r="AB61" s="143"/>
      <c r="AC61" s="143"/>
      <c r="AD61" s="143"/>
    </row>
    <row r="62" spans="1:30" ht="50.1" customHeight="1">
      <c r="A62" s="211" t="s">
        <v>181</v>
      </c>
      <c r="B62" s="138" t="s">
        <v>101</v>
      </c>
      <c r="C62" s="138" t="s">
        <v>4</v>
      </c>
      <c r="D62" s="138" t="s">
        <v>101</v>
      </c>
      <c r="E62" s="138" t="s">
        <v>101</v>
      </c>
      <c r="F62" s="138" t="s">
        <v>101</v>
      </c>
      <c r="G62" s="138" t="s">
        <v>101</v>
      </c>
      <c r="H62" s="138" t="s">
        <v>101</v>
      </c>
      <c r="I62" s="138" t="s">
        <v>101</v>
      </c>
      <c r="J62" s="138" t="s">
        <v>101</v>
      </c>
      <c r="K62" s="138" t="s">
        <v>151</v>
      </c>
      <c r="L62" s="212" t="s">
        <v>136</v>
      </c>
      <c r="M62" s="138">
        <v>4</v>
      </c>
      <c r="N62" s="138">
        <v>80</v>
      </c>
      <c r="O62" s="138" t="s">
        <v>4</v>
      </c>
      <c r="P62" s="138" t="s">
        <v>4</v>
      </c>
      <c r="Q62" s="138" t="s">
        <v>4</v>
      </c>
      <c r="R62" s="138" t="s">
        <v>417</v>
      </c>
      <c r="S62" s="138">
        <v>7</v>
      </c>
      <c r="T62" s="138" t="s">
        <v>101</v>
      </c>
      <c r="U62" s="138" t="s">
        <v>101</v>
      </c>
      <c r="V62" s="138" t="s">
        <v>101</v>
      </c>
      <c r="W62" s="138" t="s">
        <v>101</v>
      </c>
      <c r="X62" s="138" t="s">
        <v>193</v>
      </c>
      <c r="Y62" s="213" t="s">
        <v>101</v>
      </c>
      <c r="Z62" s="143"/>
      <c r="AA62" s="143"/>
      <c r="AB62" s="143"/>
      <c r="AC62" s="143"/>
      <c r="AD62" s="143"/>
    </row>
    <row r="63" spans="1:30" ht="50.1" customHeight="1">
      <c r="A63" s="211" t="s">
        <v>179</v>
      </c>
      <c r="B63" s="138" t="s">
        <v>101</v>
      </c>
      <c r="C63" s="138" t="s">
        <v>4</v>
      </c>
      <c r="D63" s="138" t="s">
        <v>101</v>
      </c>
      <c r="E63" s="138" t="s">
        <v>101</v>
      </c>
      <c r="F63" s="138" t="s">
        <v>101</v>
      </c>
      <c r="G63" s="138" t="s">
        <v>101</v>
      </c>
      <c r="H63" s="138" t="s">
        <v>101</v>
      </c>
      <c r="I63" s="138" t="s">
        <v>101</v>
      </c>
      <c r="J63" s="138" t="s">
        <v>101</v>
      </c>
      <c r="K63" s="138" t="s">
        <v>151</v>
      </c>
      <c r="L63" s="212" t="s">
        <v>136</v>
      </c>
      <c r="M63" s="138">
        <v>2</v>
      </c>
      <c r="N63" s="138">
        <v>100</v>
      </c>
      <c r="O63" s="138" t="s">
        <v>101</v>
      </c>
      <c r="P63" s="138" t="s">
        <v>4</v>
      </c>
      <c r="Q63" s="138" t="s">
        <v>101</v>
      </c>
      <c r="R63" s="138" t="s">
        <v>139</v>
      </c>
      <c r="S63" s="138">
        <v>3</v>
      </c>
      <c r="T63" s="138" t="s">
        <v>101</v>
      </c>
      <c r="U63" s="138" t="s">
        <v>101</v>
      </c>
      <c r="V63" s="138" t="s">
        <v>101</v>
      </c>
      <c r="W63" s="138">
        <v>3</v>
      </c>
      <c r="X63" s="138" t="s">
        <v>193</v>
      </c>
      <c r="Y63" s="213" t="s">
        <v>101</v>
      </c>
      <c r="Z63" s="143"/>
      <c r="AA63" s="143"/>
      <c r="AB63" s="143"/>
      <c r="AC63" s="143"/>
      <c r="AD63" s="143"/>
    </row>
    <row r="64" spans="1:30" ht="50.1" customHeight="1">
      <c r="A64" s="211" t="s">
        <v>180</v>
      </c>
      <c r="B64" s="138" t="s">
        <v>101</v>
      </c>
      <c r="C64" s="138" t="s">
        <v>4</v>
      </c>
      <c r="D64" s="138" t="s">
        <v>101</v>
      </c>
      <c r="E64" s="138" t="s">
        <v>101</v>
      </c>
      <c r="F64" s="138" t="s">
        <v>101</v>
      </c>
      <c r="G64" s="138" t="s">
        <v>101</v>
      </c>
      <c r="H64" s="138" t="s">
        <v>101</v>
      </c>
      <c r="I64" s="138" t="s">
        <v>101</v>
      </c>
      <c r="J64" s="138" t="s">
        <v>101</v>
      </c>
      <c r="K64" s="138">
        <v>1997</v>
      </c>
      <c r="L64" s="212" t="s">
        <v>5</v>
      </c>
      <c r="M64" s="138">
        <v>6</v>
      </c>
      <c r="N64" s="138">
        <v>130</v>
      </c>
      <c r="O64" s="138" t="s">
        <v>4</v>
      </c>
      <c r="P64" s="138" t="s">
        <v>4</v>
      </c>
      <c r="Q64" s="138" t="s">
        <v>4</v>
      </c>
      <c r="R64" s="138" t="s">
        <v>143</v>
      </c>
      <c r="S64" s="138">
        <v>4</v>
      </c>
      <c r="T64" s="138" t="s">
        <v>101</v>
      </c>
      <c r="U64" s="138" t="s">
        <v>101</v>
      </c>
      <c r="V64" s="138" t="s">
        <v>101</v>
      </c>
      <c r="W64" s="138">
        <v>2</v>
      </c>
      <c r="X64" s="138" t="s">
        <v>193</v>
      </c>
      <c r="Y64" s="213" t="s">
        <v>101</v>
      </c>
      <c r="Z64" s="143"/>
      <c r="AA64" s="143"/>
      <c r="AB64" s="143"/>
      <c r="AC64" s="143"/>
      <c r="AD64" s="143"/>
    </row>
    <row r="65" spans="1:30" ht="50.1" customHeight="1">
      <c r="A65" s="211" t="s">
        <v>207</v>
      </c>
      <c r="B65" s="138" t="s">
        <v>101</v>
      </c>
      <c r="C65" s="138" t="s">
        <v>4</v>
      </c>
      <c r="D65" s="138" t="s">
        <v>101</v>
      </c>
      <c r="E65" s="138" t="s">
        <v>101</v>
      </c>
      <c r="F65" s="138" t="s">
        <v>101</v>
      </c>
      <c r="G65" s="138" t="s">
        <v>101</v>
      </c>
      <c r="H65" s="138" t="s">
        <v>101</v>
      </c>
      <c r="I65" s="138" t="s">
        <v>101</v>
      </c>
      <c r="J65" s="138" t="s">
        <v>101</v>
      </c>
      <c r="K65" s="138">
        <v>1977</v>
      </c>
      <c r="L65" s="212" t="s">
        <v>136</v>
      </c>
      <c r="M65" s="138">
        <v>4</v>
      </c>
      <c r="N65" s="138">
        <v>95</v>
      </c>
      <c r="O65" s="138" t="s">
        <v>4</v>
      </c>
      <c r="P65" s="138" t="s">
        <v>4</v>
      </c>
      <c r="Q65" s="138" t="s">
        <v>4</v>
      </c>
      <c r="R65" s="138" t="s">
        <v>144</v>
      </c>
      <c r="S65" s="138">
        <v>4</v>
      </c>
      <c r="T65" s="138" t="s">
        <v>101</v>
      </c>
      <c r="U65" s="138" t="s">
        <v>101</v>
      </c>
      <c r="V65" s="138" t="s">
        <v>101</v>
      </c>
      <c r="W65" s="138">
        <v>3</v>
      </c>
      <c r="X65" s="138">
        <v>3000</v>
      </c>
      <c r="Y65" s="213" t="s">
        <v>101</v>
      </c>
      <c r="Z65" s="143"/>
      <c r="AA65" s="143"/>
      <c r="AB65" s="143"/>
      <c r="AC65" s="143"/>
      <c r="AD65" s="143"/>
    </row>
    <row r="66" spans="1:30" ht="50.1" customHeight="1">
      <c r="A66" s="211" t="s">
        <v>175</v>
      </c>
      <c r="B66" s="138" t="s">
        <v>101</v>
      </c>
      <c r="C66" s="138" t="s">
        <v>4</v>
      </c>
      <c r="D66" s="138" t="s">
        <v>101</v>
      </c>
      <c r="E66" s="138" t="s">
        <v>101</v>
      </c>
      <c r="F66" s="138" t="s">
        <v>101</v>
      </c>
      <c r="G66" s="138" t="s">
        <v>101</v>
      </c>
      <c r="H66" s="138" t="s">
        <v>101</v>
      </c>
      <c r="I66" s="138" t="s">
        <v>101</v>
      </c>
      <c r="J66" s="138" t="s">
        <v>101</v>
      </c>
      <c r="K66" s="138">
        <v>2000</v>
      </c>
      <c r="L66" s="212" t="s">
        <v>137</v>
      </c>
      <c r="M66" s="138">
        <v>6</v>
      </c>
      <c r="N66" s="138">
        <v>150</v>
      </c>
      <c r="O66" s="138" t="s">
        <v>4</v>
      </c>
      <c r="P66" s="138" t="s">
        <v>4</v>
      </c>
      <c r="Q66" s="138" t="s">
        <v>4</v>
      </c>
      <c r="R66" s="138" t="s">
        <v>143</v>
      </c>
      <c r="S66" s="138">
        <v>4</v>
      </c>
      <c r="T66" s="138" t="s">
        <v>101</v>
      </c>
      <c r="U66" s="138" t="s">
        <v>101</v>
      </c>
      <c r="V66" s="138" t="s">
        <v>101</v>
      </c>
      <c r="W66" s="138">
        <v>2</v>
      </c>
      <c r="X66" s="138" t="s">
        <v>193</v>
      </c>
      <c r="Y66" s="213" t="s">
        <v>101</v>
      </c>
      <c r="Z66" s="143"/>
      <c r="AA66" s="143"/>
      <c r="AB66" s="143"/>
      <c r="AC66" s="143"/>
      <c r="AD66" s="143"/>
    </row>
    <row r="67" spans="1:30" ht="50.1" customHeight="1">
      <c r="A67" s="211" t="s">
        <v>83</v>
      </c>
      <c r="B67" s="138" t="s">
        <v>101</v>
      </c>
      <c r="C67" s="138" t="s">
        <v>4</v>
      </c>
      <c r="D67" s="138" t="s">
        <v>101</v>
      </c>
      <c r="E67" s="138" t="s">
        <v>101</v>
      </c>
      <c r="F67" s="138" t="s">
        <v>101</v>
      </c>
      <c r="G67" s="138" t="s">
        <v>101</v>
      </c>
      <c r="H67" s="138" t="s">
        <v>101</v>
      </c>
      <c r="I67" s="138" t="s">
        <v>101</v>
      </c>
      <c r="J67" s="138" t="s">
        <v>101</v>
      </c>
      <c r="K67" s="138">
        <v>2001</v>
      </c>
      <c r="L67" s="212" t="s">
        <v>5</v>
      </c>
      <c r="M67" s="138">
        <v>5</v>
      </c>
      <c r="N67" s="138">
        <v>150</v>
      </c>
      <c r="O67" s="138" t="s">
        <v>4</v>
      </c>
      <c r="P67" s="138" t="s">
        <v>4</v>
      </c>
      <c r="Q67" s="138" t="s">
        <v>4</v>
      </c>
      <c r="R67" s="138" t="s">
        <v>143</v>
      </c>
      <c r="S67" s="138">
        <v>5</v>
      </c>
      <c r="T67" s="138" t="s">
        <v>101</v>
      </c>
      <c r="U67" s="138" t="s">
        <v>101</v>
      </c>
      <c r="V67" s="138" t="s">
        <v>101</v>
      </c>
      <c r="W67" s="138">
        <v>5</v>
      </c>
      <c r="X67" s="138" t="s">
        <v>193</v>
      </c>
      <c r="Y67" s="213" t="s">
        <v>4</v>
      </c>
      <c r="Z67" s="143"/>
      <c r="AA67" s="143"/>
      <c r="AB67" s="143"/>
      <c r="AC67" s="143"/>
      <c r="AD67" s="143"/>
    </row>
    <row r="68" spans="1:30" ht="50.1" customHeight="1">
      <c r="A68" s="211" t="s">
        <v>47</v>
      </c>
      <c r="B68" s="138" t="s">
        <v>101</v>
      </c>
      <c r="C68" s="138" t="s">
        <v>101</v>
      </c>
      <c r="D68" s="138" t="s">
        <v>101</v>
      </c>
      <c r="E68" s="138" t="s">
        <v>101</v>
      </c>
      <c r="F68" s="138" t="s">
        <v>4</v>
      </c>
      <c r="G68" s="138" t="s">
        <v>101</v>
      </c>
      <c r="H68" s="138" t="s">
        <v>101</v>
      </c>
      <c r="I68" s="138" t="s">
        <v>101</v>
      </c>
      <c r="J68" s="138" t="s">
        <v>101</v>
      </c>
      <c r="K68" s="138">
        <v>1998</v>
      </c>
      <c r="L68" s="212" t="s">
        <v>5</v>
      </c>
      <c r="M68" s="138">
        <v>3</v>
      </c>
      <c r="N68" s="138">
        <v>197</v>
      </c>
      <c r="O68" s="138" t="s">
        <v>4</v>
      </c>
      <c r="P68" s="138" t="s">
        <v>4</v>
      </c>
      <c r="Q68" s="138" t="s">
        <v>4</v>
      </c>
      <c r="R68" s="138" t="s">
        <v>143</v>
      </c>
      <c r="S68" s="138" t="s">
        <v>101</v>
      </c>
      <c r="T68" s="138" t="s">
        <v>101</v>
      </c>
      <c r="U68" s="138" t="s">
        <v>101</v>
      </c>
      <c r="V68" s="138" t="s">
        <v>101</v>
      </c>
      <c r="W68" s="138" t="s">
        <v>101</v>
      </c>
      <c r="X68" s="138" t="s">
        <v>666</v>
      </c>
      <c r="Y68" s="213" t="s">
        <v>101</v>
      </c>
      <c r="Z68" s="143"/>
      <c r="AA68" s="143"/>
      <c r="AB68" s="143"/>
      <c r="AC68" s="143"/>
      <c r="AD68" s="143"/>
    </row>
    <row r="69" spans="1:30" ht="50.1" customHeight="1">
      <c r="A69" s="211" t="s">
        <v>80</v>
      </c>
      <c r="B69" s="138" t="s">
        <v>101</v>
      </c>
      <c r="C69" s="138" t="s">
        <v>4</v>
      </c>
      <c r="D69" s="138" t="s">
        <v>101</v>
      </c>
      <c r="E69" s="138" t="s">
        <v>101</v>
      </c>
      <c r="F69" s="138" t="s">
        <v>101</v>
      </c>
      <c r="G69" s="138" t="s">
        <v>101</v>
      </c>
      <c r="H69" s="138" t="s">
        <v>101</v>
      </c>
      <c r="I69" s="138" t="s">
        <v>101</v>
      </c>
      <c r="J69" s="138" t="s">
        <v>101</v>
      </c>
      <c r="K69" s="138">
        <v>2010</v>
      </c>
      <c r="L69" s="212" t="s">
        <v>5</v>
      </c>
      <c r="M69" s="138">
        <v>5</v>
      </c>
      <c r="N69" s="138">
        <v>130</v>
      </c>
      <c r="O69" s="138" t="s">
        <v>4</v>
      </c>
      <c r="P69" s="138" t="s">
        <v>4</v>
      </c>
      <c r="Q69" s="138" t="s">
        <v>4</v>
      </c>
      <c r="R69" s="138" t="s">
        <v>143</v>
      </c>
      <c r="S69" s="138" t="s">
        <v>101</v>
      </c>
      <c r="T69" s="138" t="s">
        <v>101</v>
      </c>
      <c r="U69" s="138" t="s">
        <v>101</v>
      </c>
      <c r="V69" s="138" t="s">
        <v>101</v>
      </c>
      <c r="W69" s="138" t="s">
        <v>101</v>
      </c>
      <c r="X69" s="138" t="s">
        <v>666</v>
      </c>
      <c r="Y69" s="213" t="s">
        <v>101</v>
      </c>
      <c r="Z69" s="143"/>
      <c r="AA69" s="143"/>
      <c r="AB69" s="143"/>
      <c r="AC69" s="143"/>
      <c r="AD69" s="143"/>
    </row>
    <row r="70" spans="1:30" ht="50.1" customHeight="1">
      <c r="A70" s="211" t="s">
        <v>160</v>
      </c>
      <c r="B70" s="138" t="s">
        <v>101</v>
      </c>
      <c r="C70" s="138" t="s">
        <v>4</v>
      </c>
      <c r="D70" s="138" t="s">
        <v>101</v>
      </c>
      <c r="E70" s="138" t="s">
        <v>101</v>
      </c>
      <c r="F70" s="138" t="s">
        <v>101</v>
      </c>
      <c r="G70" s="138" t="s">
        <v>101</v>
      </c>
      <c r="H70" s="138" t="s">
        <v>101</v>
      </c>
      <c r="I70" s="138" t="s">
        <v>101</v>
      </c>
      <c r="J70" s="138" t="s">
        <v>101</v>
      </c>
      <c r="K70" s="138" t="s">
        <v>151</v>
      </c>
      <c r="L70" s="212" t="s">
        <v>5</v>
      </c>
      <c r="M70" s="138">
        <v>2</v>
      </c>
      <c r="N70" s="138">
        <v>90</v>
      </c>
      <c r="O70" s="138" t="s">
        <v>4</v>
      </c>
      <c r="P70" s="138" t="s">
        <v>4</v>
      </c>
      <c r="Q70" s="138" t="s">
        <v>4</v>
      </c>
      <c r="R70" s="138" t="s">
        <v>143</v>
      </c>
      <c r="S70" s="138" t="s">
        <v>101</v>
      </c>
      <c r="T70" s="138" t="s">
        <v>101</v>
      </c>
      <c r="U70" s="138" t="s">
        <v>101</v>
      </c>
      <c r="V70" s="138" t="s">
        <v>101</v>
      </c>
      <c r="W70" s="138" t="s">
        <v>101</v>
      </c>
      <c r="X70" s="138" t="s">
        <v>666</v>
      </c>
      <c r="Y70" s="213" t="s">
        <v>101</v>
      </c>
      <c r="Z70" s="143"/>
      <c r="AA70" s="143"/>
      <c r="AB70" s="143"/>
      <c r="AC70" s="143"/>
      <c r="AD70" s="143"/>
    </row>
    <row r="71" spans="1:30" ht="50.1" customHeight="1">
      <c r="A71" s="211" t="s">
        <v>157</v>
      </c>
      <c r="B71" s="138" t="s">
        <v>101</v>
      </c>
      <c r="C71" s="138" t="s">
        <v>4</v>
      </c>
      <c r="D71" s="138" t="s">
        <v>101</v>
      </c>
      <c r="E71" s="138" t="s">
        <v>101</v>
      </c>
      <c r="F71" s="138" t="s">
        <v>101</v>
      </c>
      <c r="G71" s="138" t="s">
        <v>101</v>
      </c>
      <c r="H71" s="138" t="s">
        <v>101</v>
      </c>
      <c r="I71" s="138" t="s">
        <v>101</v>
      </c>
      <c r="J71" s="138" t="s">
        <v>101</v>
      </c>
      <c r="K71" s="138">
        <v>1969</v>
      </c>
      <c r="L71" s="212" t="s">
        <v>136</v>
      </c>
      <c r="M71" s="138">
        <v>5</v>
      </c>
      <c r="N71" s="138">
        <v>100</v>
      </c>
      <c r="O71" s="138" t="s">
        <v>4</v>
      </c>
      <c r="P71" s="138" t="s">
        <v>4</v>
      </c>
      <c r="Q71" s="138" t="s">
        <v>4</v>
      </c>
      <c r="R71" s="138" t="s">
        <v>143</v>
      </c>
      <c r="S71" s="138">
        <v>3</v>
      </c>
      <c r="T71" s="138" t="s">
        <v>101</v>
      </c>
      <c r="U71" s="138" t="s">
        <v>101</v>
      </c>
      <c r="V71" s="138" t="s">
        <v>101</v>
      </c>
      <c r="W71" s="138">
        <v>4</v>
      </c>
      <c r="X71" s="138" t="s">
        <v>193</v>
      </c>
      <c r="Y71" s="213" t="s">
        <v>101</v>
      </c>
      <c r="Z71" s="143"/>
      <c r="AA71" s="143"/>
      <c r="AB71" s="143"/>
      <c r="AC71" s="143"/>
      <c r="AD71" s="143"/>
    </row>
    <row r="72" spans="1:30" ht="50.1" customHeight="1">
      <c r="A72" s="211" t="s">
        <v>158</v>
      </c>
      <c r="B72" s="138" t="s">
        <v>101</v>
      </c>
      <c r="C72" s="138" t="s">
        <v>4</v>
      </c>
      <c r="D72" s="138" t="s">
        <v>101</v>
      </c>
      <c r="E72" s="138" t="s">
        <v>101</v>
      </c>
      <c r="F72" s="138" t="s">
        <v>101</v>
      </c>
      <c r="G72" s="138" t="s">
        <v>101</v>
      </c>
      <c r="H72" s="138" t="s">
        <v>101</v>
      </c>
      <c r="I72" s="138" t="s">
        <v>101</v>
      </c>
      <c r="J72" s="138" t="s">
        <v>101</v>
      </c>
      <c r="K72" s="138">
        <v>1978</v>
      </c>
      <c r="L72" s="212" t="s">
        <v>5</v>
      </c>
      <c r="M72" s="138">
        <v>2</v>
      </c>
      <c r="N72" s="138">
        <v>80</v>
      </c>
      <c r="O72" s="138" t="s">
        <v>4</v>
      </c>
      <c r="P72" s="138" t="s">
        <v>4</v>
      </c>
      <c r="Q72" s="138" t="s">
        <v>4</v>
      </c>
      <c r="R72" s="138" t="s">
        <v>143</v>
      </c>
      <c r="S72" s="138">
        <v>1</v>
      </c>
      <c r="T72" s="138" t="s">
        <v>101</v>
      </c>
      <c r="U72" s="138" t="s">
        <v>101</v>
      </c>
      <c r="V72" s="138" t="s">
        <v>101</v>
      </c>
      <c r="W72" s="138" t="s">
        <v>101</v>
      </c>
      <c r="X72" s="138" t="s">
        <v>193</v>
      </c>
      <c r="Y72" s="213" t="s">
        <v>101</v>
      </c>
      <c r="Z72" s="143"/>
      <c r="AA72" s="143"/>
      <c r="AB72" s="143"/>
      <c r="AC72" s="143"/>
      <c r="AD72" s="143"/>
    </row>
    <row r="73" spans="1:30" ht="50.1" customHeight="1">
      <c r="A73" s="211" t="s">
        <v>171</v>
      </c>
      <c r="B73" s="138" t="s">
        <v>101</v>
      </c>
      <c r="C73" s="138" t="s">
        <v>4</v>
      </c>
      <c r="D73" s="138" t="s">
        <v>101</v>
      </c>
      <c r="E73" s="138" t="s">
        <v>101</v>
      </c>
      <c r="F73" s="138" t="s">
        <v>101</v>
      </c>
      <c r="G73" s="138" t="s">
        <v>101</v>
      </c>
      <c r="H73" s="138" t="s">
        <v>101</v>
      </c>
      <c r="I73" s="138" t="s">
        <v>101</v>
      </c>
      <c r="J73" s="138" t="s">
        <v>101</v>
      </c>
      <c r="K73" s="138">
        <v>1980</v>
      </c>
      <c r="L73" s="212" t="s">
        <v>5</v>
      </c>
      <c r="M73" s="138">
        <v>6</v>
      </c>
      <c r="N73" s="138">
        <v>200</v>
      </c>
      <c r="O73" s="138" t="s">
        <v>4</v>
      </c>
      <c r="P73" s="138" t="s">
        <v>4</v>
      </c>
      <c r="Q73" s="138" t="s">
        <v>4</v>
      </c>
      <c r="R73" s="138" t="s">
        <v>143</v>
      </c>
      <c r="S73" s="138">
        <v>4</v>
      </c>
      <c r="T73" s="138" t="s">
        <v>101</v>
      </c>
      <c r="U73" s="138" t="s">
        <v>101</v>
      </c>
      <c r="V73" s="138" t="s">
        <v>101</v>
      </c>
      <c r="W73" s="138">
        <v>4</v>
      </c>
      <c r="X73" s="138" t="s">
        <v>193</v>
      </c>
      <c r="Y73" s="213" t="s">
        <v>101</v>
      </c>
      <c r="Z73" s="143"/>
      <c r="AA73" s="143"/>
      <c r="AB73" s="143"/>
      <c r="AC73" s="143"/>
      <c r="AD73" s="143"/>
    </row>
    <row r="74" spans="1:30" ht="50.1" customHeight="1">
      <c r="A74" s="211" t="s">
        <v>170</v>
      </c>
      <c r="B74" s="138" t="s">
        <v>101</v>
      </c>
      <c r="C74" s="138" t="s">
        <v>4</v>
      </c>
      <c r="D74" s="138" t="s">
        <v>101</v>
      </c>
      <c r="E74" s="138" t="s">
        <v>101</v>
      </c>
      <c r="F74" s="138" t="s">
        <v>101</v>
      </c>
      <c r="G74" s="138" t="s">
        <v>101</v>
      </c>
      <c r="H74" s="138" t="s">
        <v>101</v>
      </c>
      <c r="I74" s="138" t="s">
        <v>101</v>
      </c>
      <c r="J74" s="138" t="s">
        <v>101</v>
      </c>
      <c r="K74" s="138" t="s">
        <v>151</v>
      </c>
      <c r="L74" s="212" t="s">
        <v>5</v>
      </c>
      <c r="M74" s="138">
        <v>5</v>
      </c>
      <c r="N74" s="138">
        <v>140</v>
      </c>
      <c r="O74" s="138" t="s">
        <v>4</v>
      </c>
      <c r="P74" s="138" t="s">
        <v>4</v>
      </c>
      <c r="Q74" s="138" t="s">
        <v>4</v>
      </c>
      <c r="R74" s="138" t="s">
        <v>143</v>
      </c>
      <c r="S74" s="138" t="s">
        <v>101</v>
      </c>
      <c r="T74" s="138" t="s">
        <v>101</v>
      </c>
      <c r="U74" s="138" t="s">
        <v>101</v>
      </c>
      <c r="V74" s="138" t="s">
        <v>101</v>
      </c>
      <c r="W74" s="138" t="s">
        <v>101</v>
      </c>
      <c r="X74" s="138" t="s">
        <v>193</v>
      </c>
      <c r="Y74" s="213" t="s">
        <v>101</v>
      </c>
      <c r="Z74" s="143"/>
      <c r="AA74" s="143"/>
      <c r="AB74" s="143"/>
      <c r="AC74" s="143"/>
      <c r="AD74" s="143"/>
    </row>
    <row r="75" spans="1:30" ht="50.1" customHeight="1">
      <c r="A75" s="211" t="s">
        <v>159</v>
      </c>
      <c r="B75" s="138" t="s">
        <v>4</v>
      </c>
      <c r="C75" s="138" t="s">
        <v>101</v>
      </c>
      <c r="D75" s="138" t="s">
        <v>101</v>
      </c>
      <c r="E75" s="138" t="s">
        <v>101</v>
      </c>
      <c r="F75" s="138" t="s">
        <v>101</v>
      </c>
      <c r="G75" s="138" t="s">
        <v>101</v>
      </c>
      <c r="H75" s="138" t="s">
        <v>101</v>
      </c>
      <c r="I75" s="138" t="s">
        <v>101</v>
      </c>
      <c r="J75" s="138" t="s">
        <v>101</v>
      </c>
      <c r="K75" s="138">
        <v>2013</v>
      </c>
      <c r="L75" s="212" t="s">
        <v>5</v>
      </c>
      <c r="M75" s="138">
        <v>4</v>
      </c>
      <c r="N75" s="138">
        <v>120</v>
      </c>
      <c r="O75" s="138" t="s">
        <v>4</v>
      </c>
      <c r="P75" s="138" t="s">
        <v>4</v>
      </c>
      <c r="Q75" s="138" t="s">
        <v>4</v>
      </c>
      <c r="R75" s="138" t="s">
        <v>143</v>
      </c>
      <c r="S75" s="138" t="s">
        <v>101</v>
      </c>
      <c r="T75" s="138">
        <v>3</v>
      </c>
      <c r="U75" s="138" t="s">
        <v>101</v>
      </c>
      <c r="V75" s="138" t="s">
        <v>101</v>
      </c>
      <c r="W75" s="138" t="s">
        <v>101</v>
      </c>
      <c r="X75" s="138" t="s">
        <v>193</v>
      </c>
      <c r="Y75" s="213" t="s">
        <v>101</v>
      </c>
      <c r="Z75" s="143"/>
      <c r="AA75" s="143"/>
      <c r="AB75" s="143"/>
      <c r="AC75" s="143"/>
      <c r="AD75" s="143"/>
    </row>
    <row r="76" spans="1:30" ht="50.1" customHeight="1">
      <c r="A76" s="211" t="s">
        <v>87</v>
      </c>
      <c r="B76" s="138" t="s">
        <v>4</v>
      </c>
      <c r="C76" s="138" t="s">
        <v>101</v>
      </c>
      <c r="D76" s="138" t="s">
        <v>101</v>
      </c>
      <c r="E76" s="138" t="s">
        <v>101</v>
      </c>
      <c r="F76" s="138" t="s">
        <v>101</v>
      </c>
      <c r="G76" s="138" t="s">
        <v>101</v>
      </c>
      <c r="H76" s="138" t="s">
        <v>101</v>
      </c>
      <c r="I76" s="138" t="s">
        <v>101</v>
      </c>
      <c r="J76" s="138" t="s">
        <v>101</v>
      </c>
      <c r="K76" s="138" t="s">
        <v>27</v>
      </c>
      <c r="L76" s="212" t="s">
        <v>5</v>
      </c>
      <c r="M76" s="138">
        <v>4</v>
      </c>
      <c r="N76" s="138">
        <v>75</v>
      </c>
      <c r="O76" s="138" t="s">
        <v>4</v>
      </c>
      <c r="P76" s="138" t="s">
        <v>4</v>
      </c>
      <c r="Q76" s="138" t="s">
        <v>4</v>
      </c>
      <c r="R76" s="138" t="s">
        <v>139</v>
      </c>
      <c r="S76" s="138" t="s">
        <v>101</v>
      </c>
      <c r="T76" s="138">
        <v>2</v>
      </c>
      <c r="U76" s="138" t="s">
        <v>101</v>
      </c>
      <c r="V76" s="138" t="s">
        <v>101</v>
      </c>
      <c r="W76" s="138">
        <v>2</v>
      </c>
      <c r="X76" s="138" t="s">
        <v>193</v>
      </c>
      <c r="Y76" s="213" t="s">
        <v>101</v>
      </c>
      <c r="Z76" s="143"/>
      <c r="AA76" s="143"/>
      <c r="AB76" s="143"/>
      <c r="AC76" s="143"/>
      <c r="AD76" s="143"/>
    </row>
    <row r="77" spans="1:30" ht="50.1" customHeight="1">
      <c r="A77" s="211" t="s">
        <v>209</v>
      </c>
      <c r="B77" s="138" t="s">
        <v>101</v>
      </c>
      <c r="C77" s="138" t="s">
        <v>4</v>
      </c>
      <c r="D77" s="138" t="s">
        <v>101</v>
      </c>
      <c r="E77" s="138" t="s">
        <v>101</v>
      </c>
      <c r="F77" s="138" t="s">
        <v>101</v>
      </c>
      <c r="G77" s="138" t="s">
        <v>101</v>
      </c>
      <c r="H77" s="138" t="s">
        <v>101</v>
      </c>
      <c r="I77" s="138" t="s">
        <v>101</v>
      </c>
      <c r="J77" s="138" t="s">
        <v>101</v>
      </c>
      <c r="K77" s="138">
        <v>1980</v>
      </c>
      <c r="L77" s="212" t="s">
        <v>5</v>
      </c>
      <c r="M77" s="138">
        <v>4</v>
      </c>
      <c r="N77" s="138">
        <v>150</v>
      </c>
      <c r="O77" s="138" t="s">
        <v>4</v>
      </c>
      <c r="P77" s="138" t="s">
        <v>4</v>
      </c>
      <c r="Q77" s="138" t="s">
        <v>4</v>
      </c>
      <c r="R77" s="138" t="s">
        <v>143</v>
      </c>
      <c r="S77" s="138">
        <v>3</v>
      </c>
      <c r="T77" s="138" t="s">
        <v>101</v>
      </c>
      <c r="U77" s="138" t="s">
        <v>101</v>
      </c>
      <c r="V77" s="138" t="s">
        <v>101</v>
      </c>
      <c r="W77" s="138">
        <v>3</v>
      </c>
      <c r="X77" s="138" t="s">
        <v>193</v>
      </c>
      <c r="Y77" s="213" t="s">
        <v>4</v>
      </c>
      <c r="Z77" s="143"/>
      <c r="AA77" s="143"/>
      <c r="AB77" s="143"/>
      <c r="AC77" s="143"/>
      <c r="AD77" s="143"/>
    </row>
    <row r="78" spans="1:30" ht="50.1" customHeight="1">
      <c r="A78" s="211" t="s">
        <v>35</v>
      </c>
      <c r="B78" s="138" t="s">
        <v>101</v>
      </c>
      <c r="C78" s="138" t="s">
        <v>4</v>
      </c>
      <c r="D78" s="138" t="s">
        <v>101</v>
      </c>
      <c r="E78" s="138" t="s">
        <v>101</v>
      </c>
      <c r="F78" s="138" t="s">
        <v>101</v>
      </c>
      <c r="G78" s="138" t="s">
        <v>101</v>
      </c>
      <c r="H78" s="138" t="s">
        <v>101</v>
      </c>
      <c r="I78" s="138" t="s">
        <v>101</v>
      </c>
      <c r="J78" s="138" t="s">
        <v>101</v>
      </c>
      <c r="K78" s="138">
        <v>2005</v>
      </c>
      <c r="L78" s="212" t="s">
        <v>5</v>
      </c>
      <c r="M78" s="138">
        <v>4</v>
      </c>
      <c r="N78" s="138">
        <v>150</v>
      </c>
      <c r="O78" s="138" t="s">
        <v>4</v>
      </c>
      <c r="P78" s="138" t="s">
        <v>4</v>
      </c>
      <c r="Q78" s="138" t="s">
        <v>4</v>
      </c>
      <c r="R78" s="138" t="s">
        <v>36</v>
      </c>
      <c r="S78" s="138">
        <v>3</v>
      </c>
      <c r="T78" s="138" t="s">
        <v>101</v>
      </c>
      <c r="U78" s="138" t="s">
        <v>101</v>
      </c>
      <c r="V78" s="138" t="s">
        <v>101</v>
      </c>
      <c r="W78" s="138">
        <v>1</v>
      </c>
      <c r="X78" s="138" t="s">
        <v>193</v>
      </c>
      <c r="Y78" s="213" t="s">
        <v>101</v>
      </c>
      <c r="Z78" s="143"/>
      <c r="AA78" s="143"/>
      <c r="AB78" s="143"/>
      <c r="AC78" s="143"/>
      <c r="AD78" s="143"/>
    </row>
    <row r="79" spans="1:30" ht="50.1" customHeight="1">
      <c r="A79" s="211" t="s">
        <v>558</v>
      </c>
      <c r="B79" s="138" t="s">
        <v>101</v>
      </c>
      <c r="C79" s="138" t="s">
        <v>4</v>
      </c>
      <c r="D79" s="138" t="s">
        <v>101</v>
      </c>
      <c r="E79" s="138" t="s">
        <v>101</v>
      </c>
      <c r="F79" s="138" t="s">
        <v>101</v>
      </c>
      <c r="G79" s="138" t="s">
        <v>101</v>
      </c>
      <c r="H79" s="138" t="s">
        <v>101</v>
      </c>
      <c r="I79" s="138" t="s">
        <v>101</v>
      </c>
      <c r="J79" s="138" t="s">
        <v>101</v>
      </c>
      <c r="K79" s="138">
        <v>1922</v>
      </c>
      <c r="L79" s="212" t="s">
        <v>137</v>
      </c>
      <c r="M79" s="138">
        <v>1</v>
      </c>
      <c r="N79" s="138">
        <v>27</v>
      </c>
      <c r="O79" s="138" t="s">
        <v>4</v>
      </c>
      <c r="P79" s="138" t="s">
        <v>101</v>
      </c>
      <c r="Q79" s="138" t="s">
        <v>101</v>
      </c>
      <c r="R79" s="138" t="s">
        <v>139</v>
      </c>
      <c r="S79" s="138">
        <v>2</v>
      </c>
      <c r="T79" s="138" t="s">
        <v>101</v>
      </c>
      <c r="U79" s="138" t="s">
        <v>101</v>
      </c>
      <c r="V79" s="138" t="s">
        <v>101</v>
      </c>
      <c r="W79" s="138">
        <v>2</v>
      </c>
      <c r="X79" s="138">
        <v>2000</v>
      </c>
      <c r="Y79" s="213" t="s">
        <v>101</v>
      </c>
      <c r="Z79" s="143"/>
      <c r="AA79" s="143"/>
      <c r="AB79" s="143"/>
      <c r="AC79" s="143"/>
      <c r="AD79" s="143"/>
    </row>
    <row r="80" spans="1:30" ht="50.1" customHeight="1">
      <c r="A80" s="211" t="s">
        <v>123</v>
      </c>
      <c r="B80" s="138" t="s">
        <v>101</v>
      </c>
      <c r="C80" s="138" t="s">
        <v>4</v>
      </c>
      <c r="D80" s="138" t="s">
        <v>101</v>
      </c>
      <c r="E80" s="138" t="s">
        <v>101</v>
      </c>
      <c r="F80" s="138" t="s">
        <v>101</v>
      </c>
      <c r="G80" s="138" t="s">
        <v>101</v>
      </c>
      <c r="H80" s="138" t="s">
        <v>101</v>
      </c>
      <c r="I80" s="138" t="s">
        <v>101</v>
      </c>
      <c r="J80" s="138" t="s">
        <v>101</v>
      </c>
      <c r="K80" s="138">
        <v>1989</v>
      </c>
      <c r="L80" s="212" t="s">
        <v>5</v>
      </c>
      <c r="M80" s="138">
        <v>4</v>
      </c>
      <c r="N80" s="138">
        <v>110</v>
      </c>
      <c r="O80" s="138" t="s">
        <v>101</v>
      </c>
      <c r="P80" s="138" t="s">
        <v>4</v>
      </c>
      <c r="Q80" s="138" t="s">
        <v>4</v>
      </c>
      <c r="R80" s="138" t="s">
        <v>143</v>
      </c>
      <c r="S80" s="138">
        <v>1.5</v>
      </c>
      <c r="T80" s="138" t="s">
        <v>101</v>
      </c>
      <c r="U80" s="138" t="s">
        <v>101</v>
      </c>
      <c r="V80" s="138" t="s">
        <v>101</v>
      </c>
      <c r="W80" s="138">
        <v>5</v>
      </c>
      <c r="X80" s="138">
        <v>2500</v>
      </c>
      <c r="Y80" s="213" t="s">
        <v>101</v>
      </c>
      <c r="Z80" s="143"/>
      <c r="AA80" s="143"/>
      <c r="AB80" s="143"/>
      <c r="AC80" s="143"/>
      <c r="AD80" s="143"/>
    </row>
    <row r="81" spans="1:30" ht="50.1" customHeight="1">
      <c r="A81" s="211" t="s">
        <v>98</v>
      </c>
      <c r="B81" s="138" t="s">
        <v>101</v>
      </c>
      <c r="C81" s="138" t="s">
        <v>4</v>
      </c>
      <c r="D81" s="138" t="s">
        <v>101</v>
      </c>
      <c r="E81" s="138" t="s">
        <v>101</v>
      </c>
      <c r="F81" s="138" t="s">
        <v>101</v>
      </c>
      <c r="G81" s="138" t="s">
        <v>101</v>
      </c>
      <c r="H81" s="138" t="s">
        <v>101</v>
      </c>
      <c r="I81" s="138" t="s">
        <v>4</v>
      </c>
      <c r="J81" s="138" t="s">
        <v>101</v>
      </c>
      <c r="K81" s="138">
        <v>2010</v>
      </c>
      <c r="L81" s="212" t="s">
        <v>5</v>
      </c>
      <c r="M81" s="138" t="s">
        <v>27</v>
      </c>
      <c r="N81" s="138">
        <v>150</v>
      </c>
      <c r="O81" s="138" t="s">
        <v>4</v>
      </c>
      <c r="P81" s="138" t="s">
        <v>4</v>
      </c>
      <c r="Q81" s="138" t="s">
        <v>4</v>
      </c>
      <c r="R81" s="138" t="s">
        <v>139</v>
      </c>
      <c r="S81" s="138" t="s">
        <v>101</v>
      </c>
      <c r="T81" s="138" t="s">
        <v>101</v>
      </c>
      <c r="U81" s="138" t="s">
        <v>101</v>
      </c>
      <c r="V81" s="138">
        <v>2000</v>
      </c>
      <c r="W81" s="138" t="s">
        <v>101</v>
      </c>
      <c r="X81" s="138" t="s">
        <v>666</v>
      </c>
      <c r="Y81" s="213" t="s">
        <v>101</v>
      </c>
      <c r="Z81" s="143"/>
      <c r="AA81" s="143"/>
      <c r="AB81" s="143"/>
      <c r="AC81" s="143"/>
      <c r="AD81" s="143"/>
    </row>
    <row r="82" spans="1:30" ht="50.1" customHeight="1">
      <c r="A82" s="211" t="s">
        <v>208</v>
      </c>
      <c r="B82" s="138" t="s">
        <v>101</v>
      </c>
      <c r="C82" s="138" t="s">
        <v>4</v>
      </c>
      <c r="D82" s="138" t="s">
        <v>101</v>
      </c>
      <c r="E82" s="138" t="s">
        <v>101</v>
      </c>
      <c r="F82" s="138" t="s">
        <v>101</v>
      </c>
      <c r="G82" s="138" t="s">
        <v>101</v>
      </c>
      <c r="H82" s="138" t="s">
        <v>101</v>
      </c>
      <c r="I82" s="138" t="s">
        <v>101</v>
      </c>
      <c r="J82" s="138" t="s">
        <v>101</v>
      </c>
      <c r="K82" s="138">
        <v>1971</v>
      </c>
      <c r="L82" s="212" t="s">
        <v>136</v>
      </c>
      <c r="M82" s="138">
        <v>5</v>
      </c>
      <c r="N82" s="138">
        <v>70</v>
      </c>
      <c r="O82" s="138" t="s">
        <v>4</v>
      </c>
      <c r="P82" s="138" t="s">
        <v>4</v>
      </c>
      <c r="Q82" s="138" t="s">
        <v>4</v>
      </c>
      <c r="R82" s="138" t="s">
        <v>143</v>
      </c>
      <c r="S82" s="138">
        <v>2</v>
      </c>
      <c r="T82" s="138" t="s">
        <v>101</v>
      </c>
      <c r="U82" s="138" t="s">
        <v>101</v>
      </c>
      <c r="V82" s="138" t="s">
        <v>101</v>
      </c>
      <c r="W82" s="138">
        <v>4</v>
      </c>
      <c r="X82" s="138">
        <v>2500</v>
      </c>
      <c r="Y82" s="213" t="s">
        <v>101</v>
      </c>
      <c r="Z82" s="143"/>
      <c r="AA82" s="143"/>
      <c r="AB82" s="143"/>
      <c r="AC82" s="143"/>
      <c r="AD82" s="143"/>
    </row>
    <row r="83" spans="1:30" ht="50.1" customHeight="1">
      <c r="A83" s="211" t="s">
        <v>149</v>
      </c>
      <c r="B83" s="138" t="s">
        <v>101</v>
      </c>
      <c r="C83" s="138" t="s">
        <v>101</v>
      </c>
      <c r="D83" s="138" t="s">
        <v>101</v>
      </c>
      <c r="E83" s="138" t="s">
        <v>101</v>
      </c>
      <c r="F83" s="138" t="s">
        <v>4</v>
      </c>
      <c r="G83" s="138" t="s">
        <v>101</v>
      </c>
      <c r="H83" s="138" t="s">
        <v>101</v>
      </c>
      <c r="I83" s="138" t="s">
        <v>101</v>
      </c>
      <c r="J83" s="138" t="s">
        <v>101</v>
      </c>
      <c r="K83" s="138">
        <v>1937</v>
      </c>
      <c r="L83" s="212" t="s">
        <v>136</v>
      </c>
      <c r="M83" s="138">
        <v>4</v>
      </c>
      <c r="N83" s="138">
        <v>90</v>
      </c>
      <c r="O83" s="138" t="s">
        <v>4</v>
      </c>
      <c r="P83" s="138" t="s">
        <v>4</v>
      </c>
      <c r="Q83" s="138" t="s">
        <v>4</v>
      </c>
      <c r="R83" s="138" t="s">
        <v>143</v>
      </c>
      <c r="S83" s="138" t="s">
        <v>101</v>
      </c>
      <c r="T83" s="138" t="s">
        <v>101</v>
      </c>
      <c r="U83" s="138" t="s">
        <v>101</v>
      </c>
      <c r="V83" s="138" t="s">
        <v>101</v>
      </c>
      <c r="W83" s="138" t="s">
        <v>101</v>
      </c>
      <c r="X83" s="138">
        <v>3000</v>
      </c>
      <c r="Y83" s="213" t="s">
        <v>101</v>
      </c>
      <c r="Z83" s="143"/>
      <c r="AA83" s="143"/>
      <c r="AB83" s="143"/>
      <c r="AC83" s="143"/>
      <c r="AD83" s="143"/>
    </row>
    <row r="84" spans="1:30" ht="50.1" customHeight="1">
      <c r="A84" s="211" t="s">
        <v>150</v>
      </c>
      <c r="B84" s="138" t="s">
        <v>4</v>
      </c>
      <c r="C84" s="138" t="s">
        <v>101</v>
      </c>
      <c r="D84" s="138" t="s">
        <v>101</v>
      </c>
      <c r="E84" s="138" t="s">
        <v>101</v>
      </c>
      <c r="F84" s="138" t="s">
        <v>101</v>
      </c>
      <c r="G84" s="138" t="s">
        <v>101</v>
      </c>
      <c r="H84" s="138" t="s">
        <v>101</v>
      </c>
      <c r="I84" s="138" t="s">
        <v>101</v>
      </c>
      <c r="J84" s="138" t="s">
        <v>101</v>
      </c>
      <c r="K84" s="138">
        <v>2000</v>
      </c>
      <c r="L84" s="212" t="s">
        <v>137</v>
      </c>
      <c r="M84" s="138">
        <v>4</v>
      </c>
      <c r="N84" s="138">
        <v>85</v>
      </c>
      <c r="O84" s="138" t="s">
        <v>4</v>
      </c>
      <c r="P84" s="138" t="s">
        <v>4</v>
      </c>
      <c r="Q84" s="138" t="s">
        <v>4</v>
      </c>
      <c r="R84" s="138" t="s">
        <v>143</v>
      </c>
      <c r="S84" s="138">
        <v>3.5</v>
      </c>
      <c r="T84" s="138" t="s">
        <v>101</v>
      </c>
      <c r="U84" s="138" t="s">
        <v>101</v>
      </c>
      <c r="V84" s="138" t="s">
        <v>101</v>
      </c>
      <c r="W84" s="138" t="s">
        <v>101</v>
      </c>
      <c r="X84" s="138" t="s">
        <v>193</v>
      </c>
      <c r="Y84" s="213" t="s">
        <v>4</v>
      </c>
      <c r="Z84" s="143"/>
      <c r="AA84" s="143"/>
      <c r="AB84" s="143"/>
      <c r="AC84" s="143"/>
      <c r="AD84" s="143"/>
    </row>
    <row r="85" spans="1:30" ht="50.1" customHeight="1">
      <c r="A85" s="211" t="s">
        <v>153</v>
      </c>
      <c r="B85" s="138" t="s">
        <v>4</v>
      </c>
      <c r="C85" s="138" t="s">
        <v>101</v>
      </c>
      <c r="D85" s="138" t="s">
        <v>101</v>
      </c>
      <c r="E85" s="138" t="s">
        <v>101</v>
      </c>
      <c r="F85" s="138" t="s">
        <v>101</v>
      </c>
      <c r="G85" s="138" t="s">
        <v>101</v>
      </c>
      <c r="H85" s="138" t="s">
        <v>101</v>
      </c>
      <c r="I85" s="138" t="s">
        <v>101</v>
      </c>
      <c r="J85" s="138" t="s">
        <v>101</v>
      </c>
      <c r="K85" s="138">
        <v>1985</v>
      </c>
      <c r="L85" s="212" t="s">
        <v>136</v>
      </c>
      <c r="M85" s="138">
        <v>5</v>
      </c>
      <c r="N85" s="138">
        <v>200</v>
      </c>
      <c r="O85" s="138" t="s">
        <v>4</v>
      </c>
      <c r="P85" s="138" t="s">
        <v>4</v>
      </c>
      <c r="Q85" s="138" t="s">
        <v>4</v>
      </c>
      <c r="R85" s="138" t="s">
        <v>143</v>
      </c>
      <c r="S85" s="138">
        <v>2.5</v>
      </c>
      <c r="T85" s="138" t="s">
        <v>101</v>
      </c>
      <c r="U85" s="138" t="s">
        <v>101</v>
      </c>
      <c r="V85" s="138" t="s">
        <v>101</v>
      </c>
      <c r="W85" s="138" t="s">
        <v>101</v>
      </c>
      <c r="X85" s="138" t="s">
        <v>193</v>
      </c>
      <c r="Y85" s="213" t="s">
        <v>101</v>
      </c>
      <c r="Z85" s="143"/>
      <c r="AA85" s="143"/>
      <c r="AB85" s="143"/>
      <c r="AC85" s="143"/>
      <c r="AD85" s="143"/>
    </row>
    <row r="86" spans="1:30" ht="50.1" customHeight="1">
      <c r="A86" s="211" t="s">
        <v>152</v>
      </c>
      <c r="B86" s="138" t="s">
        <v>4</v>
      </c>
      <c r="C86" s="138" t="s">
        <v>101</v>
      </c>
      <c r="D86" s="138" t="s">
        <v>101</v>
      </c>
      <c r="E86" s="138" t="s">
        <v>101</v>
      </c>
      <c r="F86" s="138" t="s">
        <v>4</v>
      </c>
      <c r="G86" s="138" t="s">
        <v>101</v>
      </c>
      <c r="H86" s="138" t="s">
        <v>101</v>
      </c>
      <c r="I86" s="138" t="s">
        <v>101</v>
      </c>
      <c r="J86" s="138" t="s">
        <v>101</v>
      </c>
      <c r="K86" s="138">
        <v>1985</v>
      </c>
      <c r="L86" s="212" t="s">
        <v>136</v>
      </c>
      <c r="M86" s="138">
        <v>2</v>
      </c>
      <c r="N86" s="138">
        <v>90</v>
      </c>
      <c r="O86" s="138" t="s">
        <v>4</v>
      </c>
      <c r="P86" s="138" t="s">
        <v>4</v>
      </c>
      <c r="Q86" s="138" t="s">
        <v>4</v>
      </c>
      <c r="R86" s="138" t="s">
        <v>143</v>
      </c>
      <c r="S86" s="138">
        <v>4</v>
      </c>
      <c r="T86" s="138" t="s">
        <v>101</v>
      </c>
      <c r="U86" s="138" t="s">
        <v>101</v>
      </c>
      <c r="V86" s="138" t="s">
        <v>101</v>
      </c>
      <c r="W86" s="138" t="s">
        <v>101</v>
      </c>
      <c r="X86" s="138" t="s">
        <v>193</v>
      </c>
      <c r="Y86" s="213" t="s">
        <v>101</v>
      </c>
      <c r="Z86" s="143"/>
      <c r="AA86" s="143"/>
      <c r="AB86" s="143"/>
      <c r="AC86" s="143"/>
      <c r="AD86" s="143"/>
    </row>
    <row r="87" spans="1:30" ht="50.1" customHeight="1">
      <c r="A87" s="211" t="s">
        <v>90</v>
      </c>
      <c r="B87" s="138" t="s">
        <v>101</v>
      </c>
      <c r="C87" s="138" t="s">
        <v>4</v>
      </c>
      <c r="D87" s="138" t="s">
        <v>101</v>
      </c>
      <c r="E87" s="138" t="s">
        <v>101</v>
      </c>
      <c r="F87" s="138" t="s">
        <v>101</v>
      </c>
      <c r="G87" s="138" t="s">
        <v>101</v>
      </c>
      <c r="H87" s="138" t="s">
        <v>101</v>
      </c>
      <c r="I87" s="138" t="s">
        <v>101</v>
      </c>
      <c r="J87" s="138" t="s">
        <v>101</v>
      </c>
      <c r="K87" s="138">
        <v>1986</v>
      </c>
      <c r="L87" s="212" t="s">
        <v>5</v>
      </c>
      <c r="M87" s="138">
        <v>3</v>
      </c>
      <c r="N87" s="138">
        <v>80</v>
      </c>
      <c r="O87" s="138" t="s">
        <v>4</v>
      </c>
      <c r="P87" s="138" t="s">
        <v>4</v>
      </c>
      <c r="Q87" s="138" t="s">
        <v>4</v>
      </c>
      <c r="R87" s="138" t="s">
        <v>139</v>
      </c>
      <c r="S87" s="138">
        <v>2</v>
      </c>
      <c r="T87" s="138" t="s">
        <v>101</v>
      </c>
      <c r="U87" s="138" t="s">
        <v>101</v>
      </c>
      <c r="V87" s="138" t="s">
        <v>101</v>
      </c>
      <c r="W87" s="138">
        <v>5</v>
      </c>
      <c r="X87" s="138" t="s">
        <v>193</v>
      </c>
      <c r="Y87" s="213" t="s">
        <v>101</v>
      </c>
      <c r="Z87" s="143"/>
      <c r="AA87" s="143"/>
      <c r="AB87" s="143"/>
      <c r="AC87" s="143"/>
      <c r="AD87" s="143"/>
    </row>
    <row r="88" spans="1:30" ht="50.1" customHeight="1">
      <c r="A88" s="211" t="s">
        <v>163</v>
      </c>
      <c r="B88" s="138" t="s">
        <v>101</v>
      </c>
      <c r="C88" s="138" t="s">
        <v>4</v>
      </c>
      <c r="D88" s="138" t="s">
        <v>101</v>
      </c>
      <c r="E88" s="138" t="s">
        <v>101</v>
      </c>
      <c r="F88" s="138" t="s">
        <v>101</v>
      </c>
      <c r="G88" s="138" t="s">
        <v>101</v>
      </c>
      <c r="H88" s="138" t="s">
        <v>101</v>
      </c>
      <c r="I88" s="138" t="s">
        <v>101</v>
      </c>
      <c r="J88" s="138" t="s">
        <v>101</v>
      </c>
      <c r="K88" s="138">
        <v>1985</v>
      </c>
      <c r="L88" s="212" t="s">
        <v>136</v>
      </c>
      <c r="M88" s="138">
        <v>4</v>
      </c>
      <c r="N88" s="138">
        <v>120</v>
      </c>
      <c r="O88" s="138" t="s">
        <v>4</v>
      </c>
      <c r="P88" s="138" t="s">
        <v>4</v>
      </c>
      <c r="Q88" s="138" t="s">
        <v>4</v>
      </c>
      <c r="R88" s="138" t="s">
        <v>143</v>
      </c>
      <c r="S88" s="138">
        <v>5</v>
      </c>
      <c r="T88" s="138" t="s">
        <v>101</v>
      </c>
      <c r="U88" s="138" t="s">
        <v>101</v>
      </c>
      <c r="V88" s="138" t="s">
        <v>101</v>
      </c>
      <c r="W88" s="138" t="s">
        <v>101</v>
      </c>
      <c r="X88" s="138" t="s">
        <v>193</v>
      </c>
      <c r="Y88" s="213" t="s">
        <v>101</v>
      </c>
      <c r="Z88" s="143"/>
      <c r="AA88" s="143"/>
      <c r="AB88" s="143"/>
      <c r="AC88" s="143"/>
      <c r="AD88" s="143"/>
    </row>
    <row r="89" spans="1:30" ht="50.1" customHeight="1">
      <c r="A89" s="211" t="s">
        <v>91</v>
      </c>
      <c r="B89" s="138" t="s">
        <v>4</v>
      </c>
      <c r="C89" s="138" t="s">
        <v>101</v>
      </c>
      <c r="D89" s="138" t="s">
        <v>101</v>
      </c>
      <c r="E89" s="138" t="s">
        <v>101</v>
      </c>
      <c r="F89" s="138" t="s">
        <v>101</v>
      </c>
      <c r="G89" s="138" t="s">
        <v>101</v>
      </c>
      <c r="H89" s="138" t="s">
        <v>101</v>
      </c>
      <c r="I89" s="138" t="s">
        <v>101</v>
      </c>
      <c r="J89" s="138" t="s">
        <v>101</v>
      </c>
      <c r="K89" s="138">
        <v>2009</v>
      </c>
      <c r="L89" s="212" t="s">
        <v>136</v>
      </c>
      <c r="M89" s="138">
        <v>4</v>
      </c>
      <c r="N89" s="138">
        <v>90</v>
      </c>
      <c r="O89" s="138" t="s">
        <v>4</v>
      </c>
      <c r="P89" s="138" t="s">
        <v>4</v>
      </c>
      <c r="Q89" s="138" t="s">
        <v>4</v>
      </c>
      <c r="R89" s="138" t="s">
        <v>139</v>
      </c>
      <c r="S89" s="138" t="s">
        <v>101</v>
      </c>
      <c r="T89" s="138">
        <v>3</v>
      </c>
      <c r="U89" s="138" t="s">
        <v>101</v>
      </c>
      <c r="V89" s="138" t="s">
        <v>101</v>
      </c>
      <c r="W89" s="138" t="s">
        <v>101</v>
      </c>
      <c r="X89" s="138">
        <v>2700</v>
      </c>
      <c r="Y89" s="213" t="s">
        <v>101</v>
      </c>
      <c r="Z89" s="143"/>
      <c r="AA89" s="143"/>
      <c r="AB89" s="143"/>
      <c r="AC89" s="143"/>
      <c r="AD89" s="143"/>
    </row>
    <row r="90" spans="1:30" ht="50.1" customHeight="1">
      <c r="A90" s="211" t="s">
        <v>89</v>
      </c>
      <c r="B90" s="138" t="s">
        <v>101</v>
      </c>
      <c r="C90" s="138" t="s">
        <v>4</v>
      </c>
      <c r="D90" s="138" t="s">
        <v>101</v>
      </c>
      <c r="E90" s="138" t="s">
        <v>101</v>
      </c>
      <c r="F90" s="138" t="s">
        <v>101</v>
      </c>
      <c r="G90" s="138" t="s">
        <v>101</v>
      </c>
      <c r="H90" s="138" t="s">
        <v>101</v>
      </c>
      <c r="I90" s="138" t="s">
        <v>101</v>
      </c>
      <c r="J90" s="138" t="s">
        <v>101</v>
      </c>
      <c r="K90" s="138">
        <v>1993</v>
      </c>
      <c r="L90" s="212" t="s">
        <v>5</v>
      </c>
      <c r="M90" s="138">
        <v>4</v>
      </c>
      <c r="N90" s="138">
        <v>100</v>
      </c>
      <c r="O90" s="138" t="s">
        <v>4</v>
      </c>
      <c r="P90" s="138" t="s">
        <v>4</v>
      </c>
      <c r="Q90" s="138" t="s">
        <v>4</v>
      </c>
      <c r="R90" s="138" t="s">
        <v>139</v>
      </c>
      <c r="S90" s="138">
        <v>2</v>
      </c>
      <c r="T90" s="138" t="s">
        <v>101</v>
      </c>
      <c r="U90" s="138" t="s">
        <v>101</v>
      </c>
      <c r="V90" s="138" t="s">
        <v>101</v>
      </c>
      <c r="W90" s="138">
        <v>3</v>
      </c>
      <c r="X90" s="138">
        <v>3000</v>
      </c>
      <c r="Y90" s="213" t="s">
        <v>101</v>
      </c>
      <c r="Z90" s="143"/>
      <c r="AA90" s="143"/>
      <c r="AB90" s="143"/>
      <c r="AC90" s="143"/>
      <c r="AD90" s="143"/>
    </row>
    <row r="91" spans="1:30" ht="50.1" customHeight="1">
      <c r="A91" s="211" t="s">
        <v>62</v>
      </c>
      <c r="B91" s="138" t="s">
        <v>101</v>
      </c>
      <c r="C91" s="138" t="s">
        <v>4</v>
      </c>
      <c r="D91" s="138" t="s">
        <v>101</v>
      </c>
      <c r="E91" s="138" t="s">
        <v>101</v>
      </c>
      <c r="F91" s="138" t="s">
        <v>4</v>
      </c>
      <c r="G91" s="138" t="s">
        <v>101</v>
      </c>
      <c r="H91" s="138" t="s">
        <v>101</v>
      </c>
      <c r="I91" s="138" t="s">
        <v>101</v>
      </c>
      <c r="J91" s="138" t="s">
        <v>101</v>
      </c>
      <c r="K91" s="138">
        <v>2010</v>
      </c>
      <c r="L91" s="212" t="s">
        <v>5</v>
      </c>
      <c r="M91" s="138">
        <v>4</v>
      </c>
      <c r="N91" s="138">
        <v>180</v>
      </c>
      <c r="O91" s="138" t="s">
        <v>4</v>
      </c>
      <c r="P91" s="138" t="s">
        <v>4</v>
      </c>
      <c r="Q91" s="138" t="s">
        <v>4</v>
      </c>
      <c r="R91" s="138" t="s">
        <v>140</v>
      </c>
      <c r="S91" s="138">
        <v>4</v>
      </c>
      <c r="T91" s="138" t="s">
        <v>101</v>
      </c>
      <c r="U91" s="138">
        <v>1000</v>
      </c>
      <c r="V91" s="138" t="s">
        <v>101</v>
      </c>
      <c r="W91" s="138">
        <v>4</v>
      </c>
      <c r="X91" s="138" t="s">
        <v>193</v>
      </c>
      <c r="Y91" s="213" t="s">
        <v>4</v>
      </c>
      <c r="Z91" s="143"/>
      <c r="AA91" s="143"/>
      <c r="AB91" s="143"/>
      <c r="AC91" s="143"/>
      <c r="AD91" s="143"/>
    </row>
    <row r="92" spans="1:30" ht="50.1" customHeight="1">
      <c r="A92" s="211" t="s">
        <v>88</v>
      </c>
      <c r="B92" s="138" t="s">
        <v>101</v>
      </c>
      <c r="C92" s="138" t="s">
        <v>4</v>
      </c>
      <c r="D92" s="138" t="s">
        <v>101</v>
      </c>
      <c r="E92" s="138" t="s">
        <v>101</v>
      </c>
      <c r="F92" s="138" t="s">
        <v>101</v>
      </c>
      <c r="G92" s="138" t="s">
        <v>101</v>
      </c>
      <c r="H92" s="138" t="s">
        <v>101</v>
      </c>
      <c r="I92" s="138" t="s">
        <v>101</v>
      </c>
      <c r="J92" s="138" t="s">
        <v>101</v>
      </c>
      <c r="K92" s="138">
        <v>1953</v>
      </c>
      <c r="L92" s="212" t="s">
        <v>136</v>
      </c>
      <c r="M92" s="138">
        <v>4</v>
      </c>
      <c r="N92" s="138">
        <v>100</v>
      </c>
      <c r="O92" s="138" t="s">
        <v>101</v>
      </c>
      <c r="P92" s="138" t="s">
        <v>4</v>
      </c>
      <c r="Q92" s="138" t="s">
        <v>101</v>
      </c>
      <c r="R92" s="138" t="s">
        <v>139</v>
      </c>
      <c r="S92" s="138">
        <v>4</v>
      </c>
      <c r="T92" s="138" t="s">
        <v>101</v>
      </c>
      <c r="U92" s="138" t="s">
        <v>101</v>
      </c>
      <c r="V92" s="138" t="s">
        <v>101</v>
      </c>
      <c r="W92" s="138">
        <v>3</v>
      </c>
      <c r="X92" s="138" t="s">
        <v>193</v>
      </c>
      <c r="Y92" s="213" t="s">
        <v>4</v>
      </c>
      <c r="Z92" s="143"/>
      <c r="AA92" s="143"/>
      <c r="AB92" s="143"/>
      <c r="AC92" s="143"/>
      <c r="AD92" s="143"/>
    </row>
    <row r="93" spans="1:30" ht="50.1" customHeight="1">
      <c r="A93" s="211" t="s">
        <v>112</v>
      </c>
      <c r="B93" s="138" t="s">
        <v>101</v>
      </c>
      <c r="C93" s="138" t="s">
        <v>4</v>
      </c>
      <c r="D93" s="138" t="s">
        <v>101</v>
      </c>
      <c r="E93" s="138" t="s">
        <v>101</v>
      </c>
      <c r="F93" s="138" t="s">
        <v>101</v>
      </c>
      <c r="G93" s="138" t="s">
        <v>101</v>
      </c>
      <c r="H93" s="138" t="s">
        <v>101</v>
      </c>
      <c r="I93" s="138" t="s">
        <v>101</v>
      </c>
      <c r="J93" s="138" t="s">
        <v>101</v>
      </c>
      <c r="K93" s="138">
        <v>2000</v>
      </c>
      <c r="L93" s="212" t="s">
        <v>137</v>
      </c>
      <c r="M93" s="138">
        <v>2</v>
      </c>
      <c r="N93" s="138">
        <v>200</v>
      </c>
      <c r="O93" s="138" t="s">
        <v>4</v>
      </c>
      <c r="P93" s="138" t="s">
        <v>4</v>
      </c>
      <c r="Q93" s="138" t="s">
        <v>4</v>
      </c>
      <c r="R93" s="138" t="s">
        <v>139</v>
      </c>
      <c r="S93" s="138">
        <v>3</v>
      </c>
      <c r="T93" s="138" t="s">
        <v>101</v>
      </c>
      <c r="U93" s="138" t="s">
        <v>101</v>
      </c>
      <c r="V93" s="138" t="s">
        <v>101</v>
      </c>
      <c r="W93" s="138">
        <v>7</v>
      </c>
      <c r="X93" s="138" t="s">
        <v>193</v>
      </c>
      <c r="Y93" s="213" t="s">
        <v>101</v>
      </c>
      <c r="Z93" s="143"/>
      <c r="AA93" s="143"/>
      <c r="AB93" s="143"/>
      <c r="AC93" s="143"/>
      <c r="AD93" s="143"/>
    </row>
    <row r="94" spans="1:30" ht="50.1" customHeight="1">
      <c r="A94" s="211" t="s">
        <v>109</v>
      </c>
      <c r="B94" s="138" t="s">
        <v>4</v>
      </c>
      <c r="C94" s="138" t="s">
        <v>101</v>
      </c>
      <c r="D94" s="138" t="s">
        <v>101</v>
      </c>
      <c r="E94" s="138" t="s">
        <v>101</v>
      </c>
      <c r="F94" s="138" t="s">
        <v>101</v>
      </c>
      <c r="G94" s="138" t="s">
        <v>101</v>
      </c>
      <c r="H94" s="138" t="s">
        <v>101</v>
      </c>
      <c r="I94" s="138" t="s">
        <v>101</v>
      </c>
      <c r="J94" s="138" t="s">
        <v>101</v>
      </c>
      <c r="K94" s="138">
        <v>2005</v>
      </c>
      <c r="L94" s="212" t="s">
        <v>5</v>
      </c>
      <c r="M94" s="138">
        <v>5</v>
      </c>
      <c r="N94" s="138">
        <v>150</v>
      </c>
      <c r="O94" s="138" t="s">
        <v>4</v>
      </c>
      <c r="P94" s="138" t="s">
        <v>4</v>
      </c>
      <c r="Q94" s="138" t="s">
        <v>4</v>
      </c>
      <c r="R94" s="138" t="s">
        <v>139</v>
      </c>
      <c r="S94" s="138">
        <v>5</v>
      </c>
      <c r="T94" s="138" t="s">
        <v>101</v>
      </c>
      <c r="U94" s="138" t="s">
        <v>101</v>
      </c>
      <c r="V94" s="138" t="s">
        <v>101</v>
      </c>
      <c r="W94" s="214" t="s">
        <v>101</v>
      </c>
      <c r="X94" s="138">
        <v>3000</v>
      </c>
      <c r="Y94" s="213" t="s">
        <v>101</v>
      </c>
      <c r="Z94" s="143"/>
      <c r="AA94" s="143"/>
      <c r="AB94" s="143"/>
      <c r="AC94" s="143"/>
      <c r="AD94" s="143"/>
    </row>
    <row r="95" spans="1:30" ht="50.1" customHeight="1">
      <c r="A95" s="211" t="s">
        <v>110</v>
      </c>
      <c r="B95" s="138" t="s">
        <v>101</v>
      </c>
      <c r="C95" s="138" t="s">
        <v>4</v>
      </c>
      <c r="D95" s="138" t="s">
        <v>101</v>
      </c>
      <c r="E95" s="138" t="s">
        <v>101</v>
      </c>
      <c r="F95" s="138" t="s">
        <v>101</v>
      </c>
      <c r="G95" s="138" t="s">
        <v>101</v>
      </c>
      <c r="H95" s="138" t="s">
        <v>101</v>
      </c>
      <c r="I95" s="138" t="s">
        <v>101</v>
      </c>
      <c r="J95" s="138" t="s">
        <v>101</v>
      </c>
      <c r="K95" s="138">
        <v>1965</v>
      </c>
      <c r="L95" s="212" t="s">
        <v>5</v>
      </c>
      <c r="M95" s="138">
        <v>3</v>
      </c>
      <c r="N95" s="138">
        <v>130</v>
      </c>
      <c r="O95" s="138" t="s">
        <v>4</v>
      </c>
      <c r="P95" s="138" t="s">
        <v>4</v>
      </c>
      <c r="Q95" s="138" t="s">
        <v>4</v>
      </c>
      <c r="R95" s="138" t="s">
        <v>139</v>
      </c>
      <c r="S95" s="138">
        <v>2</v>
      </c>
      <c r="T95" s="138" t="s">
        <v>101</v>
      </c>
      <c r="U95" s="138" t="s">
        <v>101</v>
      </c>
      <c r="V95" s="138" t="s">
        <v>101</v>
      </c>
      <c r="W95" s="138">
        <v>2</v>
      </c>
      <c r="X95" s="138" t="s">
        <v>193</v>
      </c>
      <c r="Y95" s="213" t="s">
        <v>101</v>
      </c>
      <c r="Z95" s="143"/>
      <c r="AA95" s="143"/>
      <c r="AB95" s="143"/>
      <c r="AC95" s="143"/>
      <c r="AD95" s="143"/>
    </row>
    <row r="96" spans="1:30" ht="50.1" customHeight="1">
      <c r="A96" s="211" t="s">
        <v>111</v>
      </c>
      <c r="B96" s="138" t="s">
        <v>101</v>
      </c>
      <c r="C96" s="138" t="s">
        <v>4</v>
      </c>
      <c r="D96" s="138" t="s">
        <v>101</v>
      </c>
      <c r="E96" s="138" t="s">
        <v>101</v>
      </c>
      <c r="F96" s="138" t="s">
        <v>101</v>
      </c>
      <c r="G96" s="138" t="s">
        <v>101</v>
      </c>
      <c r="H96" s="138" t="s">
        <v>101</v>
      </c>
      <c r="I96" s="138" t="s">
        <v>101</v>
      </c>
      <c r="J96" s="138" t="s">
        <v>101</v>
      </c>
      <c r="K96" s="138">
        <v>1956</v>
      </c>
      <c r="L96" s="212" t="s">
        <v>136</v>
      </c>
      <c r="M96" s="138">
        <v>2</v>
      </c>
      <c r="N96" s="138">
        <v>70</v>
      </c>
      <c r="O96" s="138" t="s">
        <v>101</v>
      </c>
      <c r="P96" s="138" t="s">
        <v>4</v>
      </c>
      <c r="Q96" s="138" t="s">
        <v>101</v>
      </c>
      <c r="R96" s="138" t="s">
        <v>143</v>
      </c>
      <c r="S96" s="138">
        <v>4</v>
      </c>
      <c r="T96" s="138" t="s">
        <v>101</v>
      </c>
      <c r="U96" s="138" t="s">
        <v>101</v>
      </c>
      <c r="V96" s="138" t="s">
        <v>101</v>
      </c>
      <c r="W96" s="138">
        <v>4</v>
      </c>
      <c r="X96" s="138">
        <v>4000</v>
      </c>
      <c r="Y96" s="213" t="s">
        <v>4</v>
      </c>
      <c r="Z96" s="143"/>
      <c r="AA96" s="143"/>
      <c r="AB96" s="143"/>
      <c r="AC96" s="143"/>
      <c r="AD96" s="143"/>
    </row>
    <row r="97" spans="1:30" ht="50.1" customHeight="1">
      <c r="A97" s="211" t="s">
        <v>106</v>
      </c>
      <c r="B97" s="138" t="s">
        <v>4</v>
      </c>
      <c r="C97" s="138" t="s">
        <v>101</v>
      </c>
      <c r="D97" s="138" t="s">
        <v>101</v>
      </c>
      <c r="E97" s="138" t="s">
        <v>101</v>
      </c>
      <c r="F97" s="138" t="s">
        <v>101</v>
      </c>
      <c r="G97" s="138" t="s">
        <v>101</v>
      </c>
      <c r="H97" s="138" t="s">
        <v>101</v>
      </c>
      <c r="I97" s="138" t="s">
        <v>101</v>
      </c>
      <c r="J97" s="138" t="s">
        <v>101</v>
      </c>
      <c r="K97" s="138">
        <v>1928</v>
      </c>
      <c r="L97" s="212" t="s">
        <v>5</v>
      </c>
      <c r="M97" s="138">
        <v>5</v>
      </c>
      <c r="N97" s="138">
        <v>80</v>
      </c>
      <c r="O97" s="138" t="s">
        <v>4</v>
      </c>
      <c r="P97" s="138" t="s">
        <v>4</v>
      </c>
      <c r="Q97" s="138" t="s">
        <v>4</v>
      </c>
      <c r="R97" s="138" t="s">
        <v>141</v>
      </c>
      <c r="S97" s="138">
        <v>4</v>
      </c>
      <c r="T97" s="138" t="s">
        <v>101</v>
      </c>
      <c r="U97" s="138" t="s">
        <v>101</v>
      </c>
      <c r="V97" s="138" t="s">
        <v>101</v>
      </c>
      <c r="W97" s="138" t="s">
        <v>101</v>
      </c>
      <c r="X97" s="138">
        <v>3200</v>
      </c>
      <c r="Y97" s="213" t="s">
        <v>4</v>
      </c>
      <c r="Z97" s="143"/>
      <c r="AA97" s="143"/>
      <c r="AB97" s="143"/>
      <c r="AC97" s="143"/>
      <c r="AD97" s="143"/>
    </row>
    <row r="98" spans="1:30" ht="50.1" customHeight="1">
      <c r="A98" s="211" t="s">
        <v>107</v>
      </c>
      <c r="B98" s="138" t="s">
        <v>4</v>
      </c>
      <c r="C98" s="138" t="s">
        <v>101</v>
      </c>
      <c r="D98" s="138" t="s">
        <v>101</v>
      </c>
      <c r="E98" s="138" t="s">
        <v>101</v>
      </c>
      <c r="F98" s="138" t="s">
        <v>101</v>
      </c>
      <c r="G98" s="138" t="s">
        <v>101</v>
      </c>
      <c r="H98" s="138" t="s">
        <v>101</v>
      </c>
      <c r="I98" s="138" t="s">
        <v>101</v>
      </c>
      <c r="J98" s="138" t="s">
        <v>101</v>
      </c>
      <c r="K98" s="138">
        <v>2015</v>
      </c>
      <c r="L98" s="212" t="s">
        <v>5</v>
      </c>
      <c r="M98" s="138">
        <v>3</v>
      </c>
      <c r="N98" s="138">
        <v>250</v>
      </c>
      <c r="O98" s="138" t="s">
        <v>4</v>
      </c>
      <c r="P98" s="138" t="s">
        <v>4</v>
      </c>
      <c r="Q98" s="138" t="s">
        <v>4</v>
      </c>
      <c r="R98" s="138" t="s">
        <v>139</v>
      </c>
      <c r="S98" s="138" t="s">
        <v>101</v>
      </c>
      <c r="T98" s="138" t="s">
        <v>101</v>
      </c>
      <c r="U98" s="138" t="s">
        <v>101</v>
      </c>
      <c r="V98" s="138" t="s">
        <v>101</v>
      </c>
      <c r="W98" s="138" t="s">
        <v>101</v>
      </c>
      <c r="X98" s="138" t="s">
        <v>666</v>
      </c>
      <c r="Y98" s="213" t="s">
        <v>4</v>
      </c>
      <c r="Z98" s="143"/>
      <c r="AA98" s="143"/>
      <c r="AB98" s="143"/>
      <c r="AC98" s="143"/>
      <c r="AD98" s="143"/>
    </row>
    <row r="99" spans="1:30" ht="50.1" customHeight="1">
      <c r="A99" s="211" t="s">
        <v>108</v>
      </c>
      <c r="B99" s="138" t="s">
        <v>4</v>
      </c>
      <c r="C99" s="138" t="s">
        <v>101</v>
      </c>
      <c r="D99" s="138" t="s">
        <v>101</v>
      </c>
      <c r="E99" s="138" t="s">
        <v>101</v>
      </c>
      <c r="F99" s="138" t="s">
        <v>101</v>
      </c>
      <c r="G99" s="138" t="s">
        <v>101</v>
      </c>
      <c r="H99" s="138" t="s">
        <v>101</v>
      </c>
      <c r="I99" s="138" t="s">
        <v>101</v>
      </c>
      <c r="J99" s="138" t="s">
        <v>101</v>
      </c>
      <c r="K99" s="138">
        <v>1995</v>
      </c>
      <c r="L99" s="212" t="s">
        <v>5</v>
      </c>
      <c r="M99" s="138">
        <v>4</v>
      </c>
      <c r="N99" s="138">
        <v>190</v>
      </c>
      <c r="O99" s="138" t="s">
        <v>4</v>
      </c>
      <c r="P99" s="138" t="s">
        <v>4</v>
      </c>
      <c r="Q99" s="138" t="s">
        <v>4</v>
      </c>
      <c r="R99" s="138" t="s">
        <v>142</v>
      </c>
      <c r="S99" s="138" t="s">
        <v>101</v>
      </c>
      <c r="T99" s="138">
        <v>3.5</v>
      </c>
      <c r="U99" s="138" t="s">
        <v>101</v>
      </c>
      <c r="V99" s="138" t="s">
        <v>101</v>
      </c>
      <c r="W99" s="138" t="s">
        <v>101</v>
      </c>
      <c r="X99" s="138">
        <v>3000</v>
      </c>
      <c r="Y99" s="213" t="s">
        <v>101</v>
      </c>
      <c r="Z99" s="143"/>
      <c r="AA99" s="143"/>
      <c r="AB99" s="143"/>
      <c r="AC99" s="143"/>
      <c r="AD99" s="143"/>
    </row>
    <row r="100" spans="1:30" ht="50.1" customHeight="1">
      <c r="A100" s="211" t="s">
        <v>103</v>
      </c>
      <c r="B100" s="138" t="s">
        <v>4</v>
      </c>
      <c r="C100" s="138" t="s">
        <v>101</v>
      </c>
      <c r="D100" s="138" t="s">
        <v>101</v>
      </c>
      <c r="E100" s="138" t="s">
        <v>101</v>
      </c>
      <c r="F100" s="138" t="s">
        <v>101</v>
      </c>
      <c r="G100" s="138" t="s">
        <v>101</v>
      </c>
      <c r="H100" s="138" t="s">
        <v>101</v>
      </c>
      <c r="I100" s="138" t="s">
        <v>101</v>
      </c>
      <c r="J100" s="138" t="s">
        <v>101</v>
      </c>
      <c r="K100" s="138">
        <v>2010</v>
      </c>
      <c r="L100" s="212" t="s">
        <v>5</v>
      </c>
      <c r="M100" s="138">
        <v>4</v>
      </c>
      <c r="N100" s="138">
        <v>400</v>
      </c>
      <c r="O100" s="138" t="s">
        <v>4</v>
      </c>
      <c r="P100" s="138" t="s">
        <v>4</v>
      </c>
      <c r="Q100" s="138" t="s">
        <v>4</v>
      </c>
      <c r="R100" s="138" t="s">
        <v>143</v>
      </c>
      <c r="S100" s="138" t="s">
        <v>101</v>
      </c>
      <c r="T100" s="138">
        <v>6</v>
      </c>
      <c r="U100" s="138" t="s">
        <v>101</v>
      </c>
      <c r="V100" s="138" t="s">
        <v>101</v>
      </c>
      <c r="W100" s="138">
        <v>6</v>
      </c>
      <c r="X100" s="138">
        <v>5000</v>
      </c>
      <c r="Y100" s="213" t="s">
        <v>4</v>
      </c>
      <c r="Z100" s="143"/>
      <c r="AA100" s="143"/>
      <c r="AB100" s="143"/>
      <c r="AC100" s="143"/>
      <c r="AD100" s="143"/>
    </row>
    <row r="101" spans="1:30" ht="50.1" customHeight="1">
      <c r="A101" s="211" t="s">
        <v>104</v>
      </c>
      <c r="B101" s="138" t="s">
        <v>101</v>
      </c>
      <c r="C101" s="138" t="s">
        <v>4</v>
      </c>
      <c r="D101" s="138" t="s">
        <v>101</v>
      </c>
      <c r="E101" s="138" t="s">
        <v>101</v>
      </c>
      <c r="F101" s="138" t="s">
        <v>101</v>
      </c>
      <c r="G101" s="138" t="s">
        <v>101</v>
      </c>
      <c r="H101" s="138" t="s">
        <v>101</v>
      </c>
      <c r="I101" s="138" t="s">
        <v>101</v>
      </c>
      <c r="J101" s="138" t="s">
        <v>101</v>
      </c>
      <c r="K101" s="138">
        <v>1999</v>
      </c>
      <c r="L101" s="212" t="s">
        <v>136</v>
      </c>
      <c r="M101" s="138">
        <v>5</v>
      </c>
      <c r="N101" s="138">
        <v>280</v>
      </c>
      <c r="O101" s="138" t="s">
        <v>4</v>
      </c>
      <c r="P101" s="138" t="s">
        <v>4</v>
      </c>
      <c r="Q101" s="138" t="s">
        <v>4</v>
      </c>
      <c r="R101" s="138" t="s">
        <v>139</v>
      </c>
      <c r="S101" s="138" t="s">
        <v>101</v>
      </c>
      <c r="T101" s="138">
        <v>5</v>
      </c>
      <c r="U101" s="138" t="s">
        <v>101</v>
      </c>
      <c r="V101" s="138" t="s">
        <v>101</v>
      </c>
      <c r="W101" s="138">
        <v>2</v>
      </c>
      <c r="X101" s="138">
        <v>4000</v>
      </c>
      <c r="Y101" s="213" t="s">
        <v>101</v>
      </c>
      <c r="Z101" s="143"/>
      <c r="AA101" s="143"/>
      <c r="AB101" s="143"/>
      <c r="AC101" s="143"/>
      <c r="AD101" s="143"/>
    </row>
    <row r="102" spans="1:30" ht="50.1" customHeight="1">
      <c r="A102" s="211" t="s">
        <v>105</v>
      </c>
      <c r="B102" s="138" t="s">
        <v>101</v>
      </c>
      <c r="C102" s="138" t="s">
        <v>101</v>
      </c>
      <c r="D102" s="138" t="s">
        <v>101</v>
      </c>
      <c r="E102" s="138" t="s">
        <v>101</v>
      </c>
      <c r="F102" s="138" t="s">
        <v>101</v>
      </c>
      <c r="G102" s="138" t="s">
        <v>101</v>
      </c>
      <c r="H102" s="138" t="s">
        <v>101</v>
      </c>
      <c r="I102" s="138" t="s">
        <v>101</v>
      </c>
      <c r="J102" s="138" t="s">
        <v>101</v>
      </c>
      <c r="K102" s="138">
        <v>2000</v>
      </c>
      <c r="L102" s="212" t="s">
        <v>137</v>
      </c>
      <c r="M102" s="138">
        <v>3</v>
      </c>
      <c r="N102" s="138">
        <v>150</v>
      </c>
      <c r="O102" s="138" t="s">
        <v>4</v>
      </c>
      <c r="P102" s="138" t="s">
        <v>4</v>
      </c>
      <c r="Q102" s="138" t="s">
        <v>4</v>
      </c>
      <c r="R102" s="138" t="s">
        <v>139</v>
      </c>
      <c r="S102" s="138" t="s">
        <v>101</v>
      </c>
      <c r="T102" s="138" t="s">
        <v>101</v>
      </c>
      <c r="U102" s="138" t="s">
        <v>101</v>
      </c>
      <c r="V102" s="138">
        <v>3000</v>
      </c>
      <c r="W102" s="138" t="s">
        <v>101</v>
      </c>
      <c r="X102" s="138">
        <v>10000</v>
      </c>
      <c r="Y102" s="213" t="s">
        <v>101</v>
      </c>
      <c r="Z102" s="143"/>
      <c r="AA102" s="143"/>
      <c r="AB102" s="143"/>
      <c r="AC102" s="143"/>
      <c r="AD102" s="143"/>
    </row>
    <row r="103" spans="1:30" ht="50.1" customHeight="1">
      <c r="A103" s="211" t="s">
        <v>28</v>
      </c>
      <c r="B103" s="138" t="s">
        <v>101</v>
      </c>
      <c r="C103" s="138" t="s">
        <v>4</v>
      </c>
      <c r="D103" s="138" t="s">
        <v>101</v>
      </c>
      <c r="E103" s="138" t="s">
        <v>101</v>
      </c>
      <c r="F103" s="138" t="s">
        <v>101</v>
      </c>
      <c r="G103" s="138" t="s">
        <v>101</v>
      </c>
      <c r="H103" s="138" t="s">
        <v>101</v>
      </c>
      <c r="I103" s="138" t="s">
        <v>101</v>
      </c>
      <c r="J103" s="138" t="s">
        <v>101</v>
      </c>
      <c r="K103" s="138">
        <v>2005</v>
      </c>
      <c r="L103" s="212" t="s">
        <v>5</v>
      </c>
      <c r="M103" s="138">
        <v>4</v>
      </c>
      <c r="N103" s="138">
        <v>130</v>
      </c>
      <c r="O103" s="138" t="s">
        <v>4</v>
      </c>
      <c r="P103" s="138" t="s">
        <v>4</v>
      </c>
      <c r="Q103" s="138" t="s">
        <v>4</v>
      </c>
      <c r="R103" s="138" t="s">
        <v>139</v>
      </c>
      <c r="S103" s="138">
        <v>4</v>
      </c>
      <c r="T103" s="138" t="s">
        <v>101</v>
      </c>
      <c r="U103" s="138" t="s">
        <v>101</v>
      </c>
      <c r="V103" s="138" t="s">
        <v>101</v>
      </c>
      <c r="W103" s="138" t="s">
        <v>101</v>
      </c>
      <c r="X103" s="138" t="s">
        <v>193</v>
      </c>
      <c r="Y103" s="213" t="s">
        <v>4</v>
      </c>
      <c r="Z103" s="143"/>
      <c r="AA103" s="143"/>
      <c r="AB103" s="143"/>
      <c r="AC103" s="143"/>
      <c r="AD103" s="143"/>
    </row>
    <row r="104" spans="1:30" ht="50.1" customHeight="1">
      <c r="A104" s="211" t="s">
        <v>166</v>
      </c>
      <c r="B104" s="138" t="s">
        <v>101</v>
      </c>
      <c r="C104" s="138" t="s">
        <v>4</v>
      </c>
      <c r="D104" s="138" t="s">
        <v>101</v>
      </c>
      <c r="E104" s="138" t="s">
        <v>101</v>
      </c>
      <c r="F104" s="138" t="s">
        <v>101</v>
      </c>
      <c r="G104" s="138" t="s">
        <v>101</v>
      </c>
      <c r="H104" s="138" t="s">
        <v>101</v>
      </c>
      <c r="I104" s="138" t="s">
        <v>101</v>
      </c>
      <c r="J104" s="138" t="s">
        <v>101</v>
      </c>
      <c r="K104" s="138">
        <v>1984</v>
      </c>
      <c r="L104" s="212" t="s">
        <v>137</v>
      </c>
      <c r="M104" s="138" t="s">
        <v>101</v>
      </c>
      <c r="N104" s="138">
        <v>70</v>
      </c>
      <c r="O104" s="138" t="s">
        <v>4</v>
      </c>
      <c r="P104" s="138" t="s">
        <v>4</v>
      </c>
      <c r="Q104" s="138" t="s">
        <v>4</v>
      </c>
      <c r="R104" s="138" t="s">
        <v>418</v>
      </c>
      <c r="S104" s="138">
        <v>5</v>
      </c>
      <c r="T104" s="138" t="s">
        <v>101</v>
      </c>
      <c r="U104" s="138" t="s">
        <v>101</v>
      </c>
      <c r="V104" s="138" t="s">
        <v>101</v>
      </c>
      <c r="W104" s="138" t="s">
        <v>101</v>
      </c>
      <c r="X104" s="138" t="s">
        <v>193</v>
      </c>
      <c r="Y104" s="213" t="s">
        <v>4</v>
      </c>
      <c r="Z104" s="143"/>
      <c r="AA104" s="143"/>
      <c r="AB104" s="143"/>
      <c r="AC104" s="143"/>
      <c r="AD104" s="143"/>
    </row>
    <row r="105" spans="1:30" ht="50.1" customHeight="1">
      <c r="A105" s="211" t="s">
        <v>183</v>
      </c>
      <c r="B105" s="138" t="s">
        <v>4</v>
      </c>
      <c r="C105" s="138" t="s">
        <v>101</v>
      </c>
      <c r="D105" s="138" t="s">
        <v>101</v>
      </c>
      <c r="E105" s="138" t="s">
        <v>101</v>
      </c>
      <c r="F105" s="138" t="s">
        <v>101</v>
      </c>
      <c r="G105" s="138" t="s">
        <v>101</v>
      </c>
      <c r="H105" s="138" t="s">
        <v>101</v>
      </c>
      <c r="I105" s="138" t="s">
        <v>101</v>
      </c>
      <c r="J105" s="138" t="s">
        <v>101</v>
      </c>
      <c r="K105" s="138">
        <v>1983</v>
      </c>
      <c r="L105" s="212" t="s">
        <v>7</v>
      </c>
      <c r="M105" s="138">
        <v>3</v>
      </c>
      <c r="N105" s="138">
        <v>100</v>
      </c>
      <c r="O105" s="138" t="s">
        <v>4</v>
      </c>
      <c r="P105" s="138" t="s">
        <v>4</v>
      </c>
      <c r="Q105" s="138" t="s">
        <v>101</v>
      </c>
      <c r="R105" s="138" t="s">
        <v>191</v>
      </c>
      <c r="S105" s="138">
        <v>4</v>
      </c>
      <c r="T105" s="138" t="s">
        <v>101</v>
      </c>
      <c r="U105" s="138" t="s">
        <v>101</v>
      </c>
      <c r="V105" s="138" t="s">
        <v>101</v>
      </c>
      <c r="W105" s="138" t="s">
        <v>101</v>
      </c>
      <c r="X105" s="138" t="s">
        <v>193</v>
      </c>
      <c r="Y105" s="213" t="s">
        <v>101</v>
      </c>
      <c r="Z105" s="143"/>
      <c r="AA105" s="143"/>
      <c r="AB105" s="143"/>
      <c r="AC105" s="143"/>
      <c r="AD105" s="143"/>
    </row>
    <row r="106" spans="1:30" ht="50.1" customHeight="1">
      <c r="A106" s="211" t="s">
        <v>165</v>
      </c>
      <c r="B106" s="138" t="s">
        <v>4</v>
      </c>
      <c r="C106" s="138" t="s">
        <v>101</v>
      </c>
      <c r="D106" s="138" t="s">
        <v>101</v>
      </c>
      <c r="E106" s="138" t="s">
        <v>101</v>
      </c>
      <c r="F106" s="138" t="s">
        <v>101</v>
      </c>
      <c r="G106" s="138" t="s">
        <v>101</v>
      </c>
      <c r="H106" s="138" t="s">
        <v>101</v>
      </c>
      <c r="I106" s="138" t="s">
        <v>101</v>
      </c>
      <c r="J106" s="138" t="s">
        <v>101</v>
      </c>
      <c r="K106" s="138">
        <v>2000</v>
      </c>
      <c r="L106" s="212" t="s">
        <v>5</v>
      </c>
      <c r="M106" s="138">
        <v>4</v>
      </c>
      <c r="N106" s="138">
        <v>100</v>
      </c>
      <c r="O106" s="138" t="s">
        <v>4</v>
      </c>
      <c r="P106" s="138" t="s">
        <v>4</v>
      </c>
      <c r="Q106" s="138" t="s">
        <v>4</v>
      </c>
      <c r="R106" s="138" t="s">
        <v>418</v>
      </c>
      <c r="S106" s="138">
        <v>4</v>
      </c>
      <c r="T106" s="138" t="s">
        <v>101</v>
      </c>
      <c r="U106" s="138" t="s">
        <v>101</v>
      </c>
      <c r="V106" s="138" t="s">
        <v>101</v>
      </c>
      <c r="W106" s="138" t="s">
        <v>101</v>
      </c>
      <c r="X106" s="138" t="s">
        <v>193</v>
      </c>
      <c r="Y106" s="213" t="s">
        <v>101</v>
      </c>
      <c r="Z106" s="143"/>
      <c r="AA106" s="143"/>
      <c r="AB106" s="143"/>
      <c r="AC106" s="143"/>
      <c r="AD106" s="143"/>
    </row>
    <row r="107" spans="1:30" ht="50.1" customHeight="1">
      <c r="A107" s="211" t="s">
        <v>164</v>
      </c>
      <c r="B107" s="138" t="s">
        <v>4</v>
      </c>
      <c r="C107" s="138" t="s">
        <v>101</v>
      </c>
      <c r="D107" s="138" t="s">
        <v>101</v>
      </c>
      <c r="E107" s="138" t="s">
        <v>101</v>
      </c>
      <c r="F107" s="138" t="s">
        <v>101</v>
      </c>
      <c r="G107" s="138" t="s">
        <v>101</v>
      </c>
      <c r="H107" s="138" t="s">
        <v>101</v>
      </c>
      <c r="I107" s="138" t="s">
        <v>101</v>
      </c>
      <c r="J107" s="138" t="s">
        <v>101</v>
      </c>
      <c r="K107" s="138">
        <v>1990</v>
      </c>
      <c r="L107" s="212" t="s">
        <v>7</v>
      </c>
      <c r="M107" s="138">
        <v>4</v>
      </c>
      <c r="N107" s="138">
        <v>100</v>
      </c>
      <c r="O107" s="138" t="s">
        <v>4</v>
      </c>
      <c r="P107" s="138" t="s">
        <v>4</v>
      </c>
      <c r="Q107" s="138" t="s">
        <v>4</v>
      </c>
      <c r="R107" s="138" t="s">
        <v>139</v>
      </c>
      <c r="S107" s="138">
        <v>3</v>
      </c>
      <c r="T107" s="138" t="s">
        <v>101</v>
      </c>
      <c r="U107" s="138" t="s">
        <v>101</v>
      </c>
      <c r="V107" s="138" t="s">
        <v>101</v>
      </c>
      <c r="W107" s="138" t="s">
        <v>101</v>
      </c>
      <c r="X107" s="138" t="s">
        <v>193</v>
      </c>
      <c r="Y107" s="213" t="s">
        <v>101</v>
      </c>
      <c r="Z107" s="143"/>
      <c r="AA107" s="143"/>
      <c r="AB107" s="143"/>
      <c r="AC107" s="143"/>
      <c r="AD107" s="143"/>
    </row>
    <row r="108" spans="1:30" ht="50.1" customHeight="1">
      <c r="A108" s="211" t="s">
        <v>6</v>
      </c>
      <c r="B108" s="138" t="s">
        <v>101</v>
      </c>
      <c r="C108" s="138" t="s">
        <v>101</v>
      </c>
      <c r="D108" s="138" t="s">
        <v>101</v>
      </c>
      <c r="E108" s="138" t="s">
        <v>101</v>
      </c>
      <c r="F108" s="138" t="s">
        <v>101</v>
      </c>
      <c r="G108" s="138" t="s">
        <v>101</v>
      </c>
      <c r="H108" s="138" t="s">
        <v>4</v>
      </c>
      <c r="I108" s="138" t="s">
        <v>101</v>
      </c>
      <c r="J108" s="138" t="s">
        <v>101</v>
      </c>
      <c r="K108" s="138">
        <v>1930</v>
      </c>
      <c r="L108" s="212" t="s">
        <v>7</v>
      </c>
      <c r="M108" s="138">
        <v>2</v>
      </c>
      <c r="N108" s="138">
        <v>30</v>
      </c>
      <c r="O108" s="138" t="s">
        <v>101</v>
      </c>
      <c r="P108" s="138" t="s">
        <v>101</v>
      </c>
      <c r="Q108" s="138" t="s">
        <v>101</v>
      </c>
      <c r="R108" s="138" t="s">
        <v>139</v>
      </c>
      <c r="S108" s="138" t="s">
        <v>101</v>
      </c>
      <c r="T108" s="138" t="s">
        <v>101</v>
      </c>
      <c r="U108" s="138" t="s">
        <v>101</v>
      </c>
      <c r="V108" s="138" t="s">
        <v>101</v>
      </c>
      <c r="W108" s="138">
        <v>3</v>
      </c>
      <c r="X108" s="138">
        <v>600</v>
      </c>
      <c r="Y108" s="213" t="s">
        <v>101</v>
      </c>
      <c r="Z108" s="143"/>
      <c r="AA108" s="143"/>
      <c r="AB108" s="143"/>
      <c r="AC108" s="143"/>
      <c r="AD108" s="143"/>
    </row>
    <row r="109" spans="1:30" ht="50.1" customHeight="1">
      <c r="A109" s="211" t="s">
        <v>3</v>
      </c>
      <c r="B109" s="138" t="s">
        <v>101</v>
      </c>
      <c r="C109" s="138" t="s">
        <v>4</v>
      </c>
      <c r="D109" s="138" t="s">
        <v>101</v>
      </c>
      <c r="E109" s="138" t="s">
        <v>101</v>
      </c>
      <c r="F109" s="138" t="s">
        <v>101</v>
      </c>
      <c r="G109" s="138" t="s">
        <v>101</v>
      </c>
      <c r="H109" s="138" t="s">
        <v>101</v>
      </c>
      <c r="I109" s="138" t="s">
        <v>101</v>
      </c>
      <c r="J109" s="138" t="s">
        <v>101</v>
      </c>
      <c r="K109" s="138">
        <v>1985</v>
      </c>
      <c r="L109" s="212" t="s">
        <v>5</v>
      </c>
      <c r="M109" s="138">
        <v>5</v>
      </c>
      <c r="N109" s="138">
        <v>80</v>
      </c>
      <c r="O109" s="138" t="s">
        <v>4</v>
      </c>
      <c r="P109" s="138" t="s">
        <v>4</v>
      </c>
      <c r="Q109" s="138" t="s">
        <v>4</v>
      </c>
      <c r="R109" s="138" t="s">
        <v>143</v>
      </c>
      <c r="S109" s="138">
        <v>3</v>
      </c>
      <c r="T109" s="138" t="s">
        <v>101</v>
      </c>
      <c r="U109" s="138" t="s">
        <v>101</v>
      </c>
      <c r="V109" s="138" t="s">
        <v>101</v>
      </c>
      <c r="W109" s="138">
        <v>2</v>
      </c>
      <c r="X109" s="138" t="s">
        <v>193</v>
      </c>
      <c r="Y109" s="213" t="s">
        <v>4</v>
      </c>
      <c r="Z109" s="143"/>
      <c r="AA109" s="143"/>
      <c r="AB109" s="143"/>
      <c r="AC109" s="143"/>
      <c r="AD109" s="143"/>
    </row>
    <row r="110" spans="1:30" ht="50.1" customHeight="1">
      <c r="A110" s="211" t="s">
        <v>167</v>
      </c>
      <c r="B110" s="138" t="s">
        <v>101</v>
      </c>
      <c r="C110" s="138" t="s">
        <v>4</v>
      </c>
      <c r="D110" s="138" t="s">
        <v>101</v>
      </c>
      <c r="E110" s="138" t="s">
        <v>101</v>
      </c>
      <c r="F110" s="138" t="s">
        <v>101</v>
      </c>
      <c r="G110" s="138" t="s">
        <v>101</v>
      </c>
      <c r="H110" s="138" t="s">
        <v>101</v>
      </c>
      <c r="I110" s="138" t="s">
        <v>101</v>
      </c>
      <c r="J110" s="138" t="s">
        <v>101</v>
      </c>
      <c r="K110" s="138">
        <v>1975</v>
      </c>
      <c r="L110" s="212" t="s">
        <v>101</v>
      </c>
      <c r="M110" s="138">
        <v>2</v>
      </c>
      <c r="N110" s="138">
        <v>70</v>
      </c>
      <c r="O110" s="138" t="s">
        <v>4</v>
      </c>
      <c r="P110" s="138" t="s">
        <v>4</v>
      </c>
      <c r="Q110" s="138" t="s">
        <v>101</v>
      </c>
      <c r="R110" s="138" t="s">
        <v>143</v>
      </c>
      <c r="S110" s="138">
        <v>3</v>
      </c>
      <c r="T110" s="138" t="s">
        <v>101</v>
      </c>
      <c r="U110" s="138" t="s">
        <v>101</v>
      </c>
      <c r="V110" s="138" t="s">
        <v>101</v>
      </c>
      <c r="W110" s="138">
        <v>1</v>
      </c>
      <c r="X110" s="138" t="s">
        <v>193</v>
      </c>
      <c r="Y110" s="213" t="s">
        <v>101</v>
      </c>
      <c r="Z110" s="143"/>
      <c r="AA110" s="143"/>
      <c r="AB110" s="143"/>
      <c r="AC110" s="143"/>
      <c r="AD110" s="143"/>
    </row>
    <row r="111" spans="1:30" ht="50.1" customHeight="1">
      <c r="A111" s="211" t="s">
        <v>43</v>
      </c>
      <c r="B111" s="138" t="s">
        <v>101</v>
      </c>
      <c r="C111" s="138" t="s">
        <v>4</v>
      </c>
      <c r="D111" s="138" t="s">
        <v>101</v>
      </c>
      <c r="E111" s="138" t="s">
        <v>101</v>
      </c>
      <c r="F111" s="138" t="s">
        <v>101</v>
      </c>
      <c r="G111" s="138" t="s">
        <v>101</v>
      </c>
      <c r="H111" s="138" t="s">
        <v>101</v>
      </c>
      <c r="I111" s="138" t="s">
        <v>101</v>
      </c>
      <c r="J111" s="138" t="s">
        <v>101</v>
      </c>
      <c r="K111" s="138">
        <v>1980</v>
      </c>
      <c r="L111" s="212" t="s">
        <v>5</v>
      </c>
      <c r="M111" s="138">
        <v>5</v>
      </c>
      <c r="N111" s="138">
        <v>150</v>
      </c>
      <c r="O111" s="138" t="s">
        <v>4</v>
      </c>
      <c r="P111" s="138" t="s">
        <v>4</v>
      </c>
      <c r="Q111" s="138" t="s">
        <v>4</v>
      </c>
      <c r="R111" s="138" t="s">
        <v>139</v>
      </c>
      <c r="S111" s="138">
        <v>6</v>
      </c>
      <c r="T111" s="138" t="s">
        <v>101</v>
      </c>
      <c r="U111" s="138" t="s">
        <v>101</v>
      </c>
      <c r="V111" s="138" t="s">
        <v>101</v>
      </c>
      <c r="W111" s="138">
        <v>2</v>
      </c>
      <c r="X111" s="138" t="s">
        <v>193</v>
      </c>
      <c r="Y111" s="213" t="s">
        <v>101</v>
      </c>
      <c r="Z111" s="143"/>
      <c r="AA111" s="143"/>
      <c r="AB111" s="143"/>
      <c r="AC111" s="143"/>
      <c r="AD111" s="143"/>
    </row>
    <row r="112" spans="1:30" ht="50.1" customHeight="1">
      <c r="A112" s="211" t="s">
        <v>41</v>
      </c>
      <c r="B112" s="138" t="s">
        <v>4</v>
      </c>
      <c r="C112" s="138" t="s">
        <v>101</v>
      </c>
      <c r="D112" s="138" t="s">
        <v>101</v>
      </c>
      <c r="E112" s="138" t="s">
        <v>101</v>
      </c>
      <c r="F112" s="138" t="s">
        <v>101</v>
      </c>
      <c r="G112" s="138" t="s">
        <v>101</v>
      </c>
      <c r="H112" s="138" t="s">
        <v>101</v>
      </c>
      <c r="I112" s="138" t="s">
        <v>101</v>
      </c>
      <c r="J112" s="138" t="s">
        <v>101</v>
      </c>
      <c r="K112" s="138">
        <v>2005</v>
      </c>
      <c r="L112" s="212" t="s">
        <v>5</v>
      </c>
      <c r="M112" s="138">
        <v>3</v>
      </c>
      <c r="N112" s="138">
        <v>120</v>
      </c>
      <c r="O112" s="138" t="s">
        <v>4</v>
      </c>
      <c r="P112" s="138" t="s">
        <v>4</v>
      </c>
      <c r="Q112" s="138" t="s">
        <v>4</v>
      </c>
      <c r="R112" s="138" t="s">
        <v>139</v>
      </c>
      <c r="S112" s="138" t="s">
        <v>101</v>
      </c>
      <c r="T112" s="138" t="s">
        <v>101</v>
      </c>
      <c r="U112" s="138" t="s">
        <v>101</v>
      </c>
      <c r="V112" s="138" t="s">
        <v>101</v>
      </c>
      <c r="W112" s="138" t="s">
        <v>101</v>
      </c>
      <c r="X112" s="138" t="s">
        <v>666</v>
      </c>
      <c r="Y112" s="213" t="s">
        <v>101</v>
      </c>
      <c r="Z112" s="143"/>
      <c r="AA112" s="143"/>
      <c r="AB112" s="143"/>
      <c r="AC112" s="143"/>
      <c r="AD112" s="143"/>
    </row>
    <row r="113" spans="1:30" ht="50.1" customHeight="1">
      <c r="A113" s="211" t="s">
        <v>42</v>
      </c>
      <c r="B113" s="138" t="s">
        <v>101</v>
      </c>
      <c r="C113" s="138" t="s">
        <v>101</v>
      </c>
      <c r="D113" s="138" t="s">
        <v>101</v>
      </c>
      <c r="E113" s="138" t="s">
        <v>101</v>
      </c>
      <c r="F113" s="138" t="s">
        <v>4</v>
      </c>
      <c r="G113" s="138" t="s">
        <v>101</v>
      </c>
      <c r="H113" s="138" t="s">
        <v>101</v>
      </c>
      <c r="I113" s="138" t="s">
        <v>101</v>
      </c>
      <c r="J113" s="138" t="s">
        <v>101</v>
      </c>
      <c r="K113" s="138">
        <v>2003</v>
      </c>
      <c r="L113" s="212" t="s">
        <v>136</v>
      </c>
      <c r="M113" s="138">
        <v>3</v>
      </c>
      <c r="N113" s="138">
        <v>200</v>
      </c>
      <c r="O113" s="138" t="s">
        <v>4</v>
      </c>
      <c r="P113" s="138" t="s">
        <v>4</v>
      </c>
      <c r="Q113" s="138" t="s">
        <v>4</v>
      </c>
      <c r="R113" s="138" t="s">
        <v>139</v>
      </c>
      <c r="S113" s="138" t="s">
        <v>101</v>
      </c>
      <c r="T113" s="138" t="s">
        <v>101</v>
      </c>
      <c r="U113" s="138" t="s">
        <v>101</v>
      </c>
      <c r="V113" s="138" t="s">
        <v>101</v>
      </c>
      <c r="W113" s="138" t="s">
        <v>101</v>
      </c>
      <c r="X113" s="138" t="s">
        <v>666</v>
      </c>
      <c r="Y113" s="213" t="s">
        <v>101</v>
      </c>
      <c r="Z113" s="143"/>
      <c r="AA113" s="143"/>
      <c r="AB113" s="143"/>
      <c r="AC113" s="143"/>
      <c r="AD113" s="143"/>
    </row>
    <row r="114" spans="1:30" ht="50.1" customHeight="1">
      <c r="A114" s="211" t="s">
        <v>97</v>
      </c>
      <c r="B114" s="138" t="s">
        <v>101</v>
      </c>
      <c r="C114" s="138" t="s">
        <v>4</v>
      </c>
      <c r="D114" s="138" t="s">
        <v>101</v>
      </c>
      <c r="E114" s="138" t="s">
        <v>101</v>
      </c>
      <c r="F114" s="138" t="s">
        <v>101</v>
      </c>
      <c r="G114" s="138" t="s">
        <v>101</v>
      </c>
      <c r="H114" s="138" t="s">
        <v>101</v>
      </c>
      <c r="I114" s="138" t="s">
        <v>101</v>
      </c>
      <c r="J114" s="138" t="s">
        <v>101</v>
      </c>
      <c r="K114" s="138">
        <v>1975</v>
      </c>
      <c r="L114" s="212" t="s">
        <v>5</v>
      </c>
      <c r="M114" s="138">
        <v>6</v>
      </c>
      <c r="N114" s="138">
        <v>82</v>
      </c>
      <c r="O114" s="138" t="s">
        <v>101</v>
      </c>
      <c r="P114" s="138" t="s">
        <v>4</v>
      </c>
      <c r="Q114" s="138" t="s">
        <v>4</v>
      </c>
      <c r="R114" s="138" t="s">
        <v>143</v>
      </c>
      <c r="S114" s="138">
        <v>5</v>
      </c>
      <c r="T114" s="138" t="s">
        <v>101</v>
      </c>
      <c r="U114" s="138" t="s">
        <v>101</v>
      </c>
      <c r="V114" s="138" t="s">
        <v>101</v>
      </c>
      <c r="W114" s="138">
        <v>3</v>
      </c>
      <c r="X114" s="138" t="s">
        <v>193</v>
      </c>
      <c r="Y114" s="213" t="s">
        <v>101</v>
      </c>
      <c r="Z114" s="143"/>
      <c r="AA114" s="143"/>
      <c r="AB114" s="143"/>
      <c r="AC114" s="143"/>
      <c r="AD114" s="143"/>
    </row>
    <row r="115" spans="1:30" ht="50.1" customHeight="1">
      <c r="A115" s="211" t="s">
        <v>9</v>
      </c>
      <c r="B115" s="138" t="s">
        <v>101</v>
      </c>
      <c r="C115" s="138" t="s">
        <v>4</v>
      </c>
      <c r="D115" s="138" t="s">
        <v>101</v>
      </c>
      <c r="E115" s="138" t="s">
        <v>101</v>
      </c>
      <c r="F115" s="138" t="s">
        <v>101</v>
      </c>
      <c r="G115" s="138" t="s">
        <v>101</v>
      </c>
      <c r="H115" s="138" t="s">
        <v>101</v>
      </c>
      <c r="I115" s="138" t="s">
        <v>101</v>
      </c>
      <c r="J115" s="138" t="s">
        <v>101</v>
      </c>
      <c r="K115" s="138">
        <v>1907</v>
      </c>
      <c r="L115" s="212" t="s">
        <v>7</v>
      </c>
      <c r="M115" s="138">
        <v>2</v>
      </c>
      <c r="N115" s="138">
        <v>110</v>
      </c>
      <c r="O115" s="138" t="s">
        <v>101</v>
      </c>
      <c r="P115" s="138" t="s">
        <v>4</v>
      </c>
      <c r="Q115" s="138" t="s">
        <v>101</v>
      </c>
      <c r="R115" s="138" t="s">
        <v>139</v>
      </c>
      <c r="S115" s="138">
        <v>4.5</v>
      </c>
      <c r="T115" s="138" t="s">
        <v>101</v>
      </c>
      <c r="U115" s="138" t="s">
        <v>101</v>
      </c>
      <c r="V115" s="138" t="s">
        <v>101</v>
      </c>
      <c r="W115" s="138">
        <v>1</v>
      </c>
      <c r="X115" s="138" t="s">
        <v>193</v>
      </c>
      <c r="Y115" s="213" t="s">
        <v>101</v>
      </c>
      <c r="Z115" s="143"/>
      <c r="AA115" s="143"/>
      <c r="AB115" s="143"/>
      <c r="AC115" s="143"/>
      <c r="AD115" s="143"/>
    </row>
    <row r="116" spans="1:30" ht="50.1" customHeight="1">
      <c r="A116" s="211" t="s">
        <v>8</v>
      </c>
      <c r="B116" s="138" t="s">
        <v>101</v>
      </c>
      <c r="C116" s="138" t="s">
        <v>4</v>
      </c>
      <c r="D116" s="138" t="s">
        <v>101</v>
      </c>
      <c r="E116" s="138" t="s">
        <v>101</v>
      </c>
      <c r="F116" s="138" t="s">
        <v>101</v>
      </c>
      <c r="G116" s="138" t="s">
        <v>101</v>
      </c>
      <c r="H116" s="138" t="s">
        <v>101</v>
      </c>
      <c r="I116" s="138" t="s">
        <v>101</v>
      </c>
      <c r="J116" s="138" t="s">
        <v>101</v>
      </c>
      <c r="K116" s="138">
        <v>1998</v>
      </c>
      <c r="L116" s="212" t="s">
        <v>7</v>
      </c>
      <c r="M116" s="138">
        <v>3</v>
      </c>
      <c r="N116" s="138">
        <v>170</v>
      </c>
      <c r="O116" s="138" t="s">
        <v>4</v>
      </c>
      <c r="P116" s="138" t="s">
        <v>4</v>
      </c>
      <c r="Q116" s="138" t="s">
        <v>4</v>
      </c>
      <c r="R116" s="138" t="s">
        <v>419</v>
      </c>
      <c r="S116" s="138">
        <v>4</v>
      </c>
      <c r="T116" s="138" t="s">
        <v>101</v>
      </c>
      <c r="U116" s="138" t="s">
        <v>101</v>
      </c>
      <c r="V116" s="138" t="s">
        <v>101</v>
      </c>
      <c r="W116" s="138">
        <v>2</v>
      </c>
      <c r="X116" s="138" t="s">
        <v>193</v>
      </c>
      <c r="Y116" s="213" t="s">
        <v>4</v>
      </c>
      <c r="Z116" s="143"/>
      <c r="AA116" s="143"/>
      <c r="AB116" s="143"/>
      <c r="AC116" s="143"/>
      <c r="AD116" s="143"/>
    </row>
    <row r="117" spans="1:30" ht="50.1" customHeight="1">
      <c r="A117" s="211" t="s">
        <v>10</v>
      </c>
      <c r="B117" s="138" t="s">
        <v>101</v>
      </c>
      <c r="C117" s="138" t="s">
        <v>4</v>
      </c>
      <c r="D117" s="138" t="s">
        <v>101</v>
      </c>
      <c r="E117" s="138" t="s">
        <v>101</v>
      </c>
      <c r="F117" s="138" t="s">
        <v>101</v>
      </c>
      <c r="G117" s="138" t="s">
        <v>101</v>
      </c>
      <c r="H117" s="138" t="s">
        <v>101</v>
      </c>
      <c r="I117" s="138" t="s">
        <v>101</v>
      </c>
      <c r="J117" s="138" t="s">
        <v>101</v>
      </c>
      <c r="K117" s="138">
        <v>1935</v>
      </c>
      <c r="L117" s="212" t="s">
        <v>136</v>
      </c>
      <c r="M117" s="138">
        <v>1</v>
      </c>
      <c r="N117" s="138">
        <v>104</v>
      </c>
      <c r="O117" s="138" t="s">
        <v>101</v>
      </c>
      <c r="P117" s="138" t="s">
        <v>4</v>
      </c>
      <c r="Q117" s="138" t="s">
        <v>101</v>
      </c>
      <c r="R117" s="138" t="s">
        <v>139</v>
      </c>
      <c r="S117" s="138">
        <v>3</v>
      </c>
      <c r="T117" s="138" t="s">
        <v>101</v>
      </c>
      <c r="U117" s="138" t="s">
        <v>101</v>
      </c>
      <c r="V117" s="138" t="s">
        <v>101</v>
      </c>
      <c r="W117" s="138">
        <v>3</v>
      </c>
      <c r="X117" s="138">
        <v>2700</v>
      </c>
      <c r="Y117" s="213" t="s">
        <v>4</v>
      </c>
      <c r="Z117" s="143"/>
      <c r="AA117" s="143"/>
      <c r="AB117" s="143"/>
      <c r="AC117" s="143"/>
      <c r="AD117" s="143"/>
    </row>
    <row r="118" spans="1:30" ht="50.1" customHeight="1">
      <c r="A118" s="211" t="s">
        <v>15</v>
      </c>
      <c r="B118" s="138" t="s">
        <v>101</v>
      </c>
      <c r="C118" s="138" t="s">
        <v>4</v>
      </c>
      <c r="D118" s="138" t="s">
        <v>101</v>
      </c>
      <c r="E118" s="138" t="s">
        <v>101</v>
      </c>
      <c r="F118" s="138" t="s">
        <v>101</v>
      </c>
      <c r="G118" s="138" t="s">
        <v>101</v>
      </c>
      <c r="H118" s="138" t="s">
        <v>101</v>
      </c>
      <c r="I118" s="138" t="s">
        <v>101</v>
      </c>
      <c r="J118" s="138" t="s">
        <v>101</v>
      </c>
      <c r="K118" s="138">
        <v>1950</v>
      </c>
      <c r="L118" s="212" t="s">
        <v>136</v>
      </c>
      <c r="M118" s="138">
        <v>4</v>
      </c>
      <c r="N118" s="138">
        <v>85</v>
      </c>
      <c r="O118" s="138" t="s">
        <v>4</v>
      </c>
      <c r="P118" s="138" t="s">
        <v>4</v>
      </c>
      <c r="Q118" s="138" t="s">
        <v>4</v>
      </c>
      <c r="R118" s="138" t="s">
        <v>143</v>
      </c>
      <c r="S118" s="138">
        <v>5</v>
      </c>
      <c r="T118" s="138" t="s">
        <v>101</v>
      </c>
      <c r="U118" s="138" t="s">
        <v>101</v>
      </c>
      <c r="V118" s="138" t="s">
        <v>101</v>
      </c>
      <c r="W118" s="138" t="s">
        <v>101</v>
      </c>
      <c r="X118" s="138">
        <v>3500</v>
      </c>
      <c r="Y118" s="213" t="s">
        <v>4</v>
      </c>
      <c r="Z118" s="143"/>
      <c r="AA118" s="143"/>
      <c r="AB118" s="143"/>
      <c r="AC118" s="143"/>
      <c r="AD118" s="143"/>
    </row>
    <row r="119" spans="1:30" ht="50.1" customHeight="1">
      <c r="A119" s="211" t="s">
        <v>176</v>
      </c>
      <c r="B119" s="138" t="s">
        <v>4</v>
      </c>
      <c r="C119" s="138" t="s">
        <v>101</v>
      </c>
      <c r="D119" s="138" t="s">
        <v>101</v>
      </c>
      <c r="E119" s="138" t="s">
        <v>101</v>
      </c>
      <c r="F119" s="138" t="s">
        <v>101</v>
      </c>
      <c r="G119" s="138" t="s">
        <v>101</v>
      </c>
      <c r="H119" s="138" t="s">
        <v>101</v>
      </c>
      <c r="I119" s="138" t="s">
        <v>101</v>
      </c>
      <c r="J119" s="138" t="s">
        <v>101</v>
      </c>
      <c r="K119" s="138">
        <v>2013</v>
      </c>
      <c r="L119" s="212" t="s">
        <v>5</v>
      </c>
      <c r="M119" s="138">
        <v>4</v>
      </c>
      <c r="N119" s="138">
        <v>140</v>
      </c>
      <c r="O119" s="138" t="s">
        <v>4</v>
      </c>
      <c r="P119" s="138" t="s">
        <v>4</v>
      </c>
      <c r="Q119" s="138" t="s">
        <v>4</v>
      </c>
      <c r="R119" s="138" t="s">
        <v>143</v>
      </c>
      <c r="S119" s="138">
        <v>3</v>
      </c>
      <c r="T119" s="138" t="s">
        <v>101</v>
      </c>
      <c r="U119" s="138" t="s">
        <v>101</v>
      </c>
      <c r="V119" s="138" t="s">
        <v>101</v>
      </c>
      <c r="W119" s="138" t="s">
        <v>101</v>
      </c>
      <c r="X119" s="138" t="s">
        <v>193</v>
      </c>
      <c r="Y119" s="213" t="s">
        <v>101</v>
      </c>
      <c r="Z119" s="143"/>
      <c r="AA119" s="143"/>
      <c r="AB119" s="143"/>
      <c r="AC119" s="143"/>
      <c r="AD119" s="143"/>
    </row>
    <row r="120" spans="1:30" ht="50.1" customHeight="1">
      <c r="A120" s="211" t="s">
        <v>32</v>
      </c>
      <c r="B120" s="138" t="s">
        <v>101</v>
      </c>
      <c r="C120" s="138" t="s">
        <v>4</v>
      </c>
      <c r="D120" s="138" t="s">
        <v>101</v>
      </c>
      <c r="E120" s="138" t="s">
        <v>101</v>
      </c>
      <c r="F120" s="138" t="s">
        <v>101</v>
      </c>
      <c r="G120" s="138" t="s">
        <v>101</v>
      </c>
      <c r="H120" s="138" t="s">
        <v>101</v>
      </c>
      <c r="I120" s="138" t="s">
        <v>101</v>
      </c>
      <c r="J120" s="138" t="s">
        <v>101</v>
      </c>
      <c r="K120" s="138">
        <v>1990</v>
      </c>
      <c r="L120" s="212" t="s">
        <v>5</v>
      </c>
      <c r="M120" s="138">
        <v>6</v>
      </c>
      <c r="N120" s="138" t="s">
        <v>27</v>
      </c>
      <c r="O120" s="138" t="s">
        <v>4</v>
      </c>
      <c r="P120" s="138" t="s">
        <v>4</v>
      </c>
      <c r="Q120" s="138" t="s">
        <v>4</v>
      </c>
      <c r="R120" s="138" t="s">
        <v>143</v>
      </c>
      <c r="S120" s="138">
        <v>6</v>
      </c>
      <c r="T120" s="138" t="s">
        <v>101</v>
      </c>
      <c r="U120" s="138" t="s">
        <v>101</v>
      </c>
      <c r="V120" s="138" t="s">
        <v>101</v>
      </c>
      <c r="W120" s="138">
        <v>4</v>
      </c>
      <c r="X120" s="138" t="s">
        <v>193</v>
      </c>
      <c r="Y120" s="213" t="s">
        <v>4</v>
      </c>
      <c r="Z120" s="143"/>
      <c r="AA120" s="143"/>
      <c r="AB120" s="143"/>
      <c r="AC120" s="143"/>
      <c r="AD120" s="143"/>
    </row>
    <row r="121" spans="1:30" ht="50.1" customHeight="1">
      <c r="A121" s="211" t="s">
        <v>11</v>
      </c>
      <c r="B121" s="138" t="s">
        <v>101</v>
      </c>
      <c r="C121" s="138" t="s">
        <v>4</v>
      </c>
      <c r="D121" s="138" t="s">
        <v>101</v>
      </c>
      <c r="E121" s="138" t="s">
        <v>101</v>
      </c>
      <c r="F121" s="138" t="s">
        <v>101</v>
      </c>
      <c r="G121" s="138" t="s">
        <v>101</v>
      </c>
      <c r="H121" s="138" t="s">
        <v>101</v>
      </c>
      <c r="I121" s="138" t="s">
        <v>101</v>
      </c>
      <c r="J121" s="138" t="s">
        <v>101</v>
      </c>
      <c r="K121" s="138">
        <v>1978</v>
      </c>
      <c r="L121" s="212" t="s">
        <v>7</v>
      </c>
      <c r="M121" s="138">
        <v>3</v>
      </c>
      <c r="N121" s="138">
        <v>80</v>
      </c>
      <c r="O121" s="138" t="s">
        <v>101</v>
      </c>
      <c r="P121" s="138" t="s">
        <v>101</v>
      </c>
      <c r="Q121" s="138" t="s">
        <v>101</v>
      </c>
      <c r="R121" s="138" t="s">
        <v>139</v>
      </c>
      <c r="S121" s="138">
        <v>3</v>
      </c>
      <c r="T121" s="138" t="s">
        <v>101</v>
      </c>
      <c r="U121" s="138" t="s">
        <v>101</v>
      </c>
      <c r="V121" s="138" t="s">
        <v>101</v>
      </c>
      <c r="W121" s="138">
        <v>3</v>
      </c>
      <c r="X121" s="138">
        <v>2700</v>
      </c>
      <c r="Y121" s="213" t="s">
        <v>101</v>
      </c>
      <c r="Z121" s="143"/>
      <c r="AA121" s="143"/>
      <c r="AB121" s="143"/>
      <c r="AC121" s="143"/>
      <c r="AD121" s="143"/>
    </row>
    <row r="122" spans="1:30" ht="50.1" customHeight="1">
      <c r="A122" s="211" t="s">
        <v>25</v>
      </c>
      <c r="B122" s="138" t="s">
        <v>4</v>
      </c>
      <c r="C122" s="138" t="s">
        <v>101</v>
      </c>
      <c r="D122" s="138" t="s">
        <v>101</v>
      </c>
      <c r="E122" s="138" t="s">
        <v>101</v>
      </c>
      <c r="F122" s="138" t="s">
        <v>101</v>
      </c>
      <c r="G122" s="138" t="s">
        <v>101</v>
      </c>
      <c r="H122" s="138" t="s">
        <v>101</v>
      </c>
      <c r="I122" s="138" t="s">
        <v>101</v>
      </c>
      <c r="J122" s="138" t="s">
        <v>101</v>
      </c>
      <c r="K122" s="138">
        <v>2008</v>
      </c>
      <c r="L122" s="212" t="s">
        <v>136</v>
      </c>
      <c r="M122" s="138">
        <v>4</v>
      </c>
      <c r="N122" s="138">
        <v>150</v>
      </c>
      <c r="O122" s="138" t="s">
        <v>4</v>
      </c>
      <c r="P122" s="138" t="s">
        <v>4</v>
      </c>
      <c r="Q122" s="138" t="s">
        <v>4</v>
      </c>
      <c r="R122" s="138" t="s">
        <v>143</v>
      </c>
      <c r="S122" s="138">
        <v>6</v>
      </c>
      <c r="T122" s="138" t="s">
        <v>101</v>
      </c>
      <c r="U122" s="138" t="s">
        <v>101</v>
      </c>
      <c r="V122" s="138" t="s">
        <v>101</v>
      </c>
      <c r="W122" s="138" t="s">
        <v>101</v>
      </c>
      <c r="X122" s="138">
        <v>4000</v>
      </c>
      <c r="Y122" s="213" t="s">
        <v>4</v>
      </c>
      <c r="Z122" s="143"/>
      <c r="AA122" s="143"/>
      <c r="AB122" s="143"/>
      <c r="AC122" s="143"/>
      <c r="AD122" s="143"/>
    </row>
    <row r="123" spans="1:30" ht="50.1" customHeight="1">
      <c r="A123" s="211" t="s">
        <v>84</v>
      </c>
      <c r="B123" s="138" t="s">
        <v>101</v>
      </c>
      <c r="C123" s="138" t="s">
        <v>4</v>
      </c>
      <c r="D123" s="138" t="s">
        <v>101</v>
      </c>
      <c r="E123" s="138" t="s">
        <v>101</v>
      </c>
      <c r="F123" s="138" t="s">
        <v>101</v>
      </c>
      <c r="G123" s="138" t="s">
        <v>101</v>
      </c>
      <c r="H123" s="138" t="s">
        <v>101</v>
      </c>
      <c r="I123" s="138" t="s">
        <v>101</v>
      </c>
      <c r="J123" s="138" t="s">
        <v>101</v>
      </c>
      <c r="K123" s="138">
        <v>2010</v>
      </c>
      <c r="L123" s="212" t="s">
        <v>5</v>
      </c>
      <c r="M123" s="138">
        <v>4</v>
      </c>
      <c r="N123" s="138">
        <v>120</v>
      </c>
      <c r="O123" s="138" t="s">
        <v>4</v>
      </c>
      <c r="P123" s="138" t="s">
        <v>4</v>
      </c>
      <c r="Q123" s="138" t="s">
        <v>4</v>
      </c>
      <c r="R123" s="138" t="s">
        <v>143</v>
      </c>
      <c r="S123" s="138">
        <v>4</v>
      </c>
      <c r="T123" s="138" t="s">
        <v>101</v>
      </c>
      <c r="U123" s="138" t="s">
        <v>101</v>
      </c>
      <c r="V123" s="138" t="s">
        <v>101</v>
      </c>
      <c r="W123" s="138">
        <v>1</v>
      </c>
      <c r="X123" s="138" t="s">
        <v>193</v>
      </c>
      <c r="Y123" s="213" t="s">
        <v>4</v>
      </c>
      <c r="Z123" s="143"/>
      <c r="AA123" s="143"/>
      <c r="AB123" s="143"/>
      <c r="AC123" s="143"/>
      <c r="AD123" s="143"/>
    </row>
    <row r="124" spans="1:30" ht="50.1" customHeight="1">
      <c r="A124" s="211" t="s">
        <v>559</v>
      </c>
      <c r="B124" s="138" t="s">
        <v>101</v>
      </c>
      <c r="C124" s="138" t="s">
        <v>4</v>
      </c>
      <c r="D124" s="138" t="s">
        <v>101</v>
      </c>
      <c r="E124" s="138" t="s">
        <v>101</v>
      </c>
      <c r="F124" s="138" t="s">
        <v>101</v>
      </c>
      <c r="G124" s="138" t="s">
        <v>101</v>
      </c>
      <c r="H124" s="138" t="s">
        <v>101</v>
      </c>
      <c r="I124" s="138" t="s">
        <v>101</v>
      </c>
      <c r="J124" s="138" t="s">
        <v>101</v>
      </c>
      <c r="K124" s="138">
        <v>2008</v>
      </c>
      <c r="L124" s="212" t="s">
        <v>136</v>
      </c>
      <c r="M124" s="138">
        <v>4</v>
      </c>
      <c r="N124" s="138">
        <v>130</v>
      </c>
      <c r="O124" s="138" t="s">
        <v>4</v>
      </c>
      <c r="P124" s="138" t="s">
        <v>4</v>
      </c>
      <c r="Q124" s="138" t="s">
        <v>4</v>
      </c>
      <c r="R124" s="138" t="s">
        <v>143</v>
      </c>
      <c r="S124" s="138">
        <v>5</v>
      </c>
      <c r="T124" s="138" t="s">
        <v>101</v>
      </c>
      <c r="U124" s="138" t="s">
        <v>101</v>
      </c>
      <c r="V124" s="138" t="s">
        <v>101</v>
      </c>
      <c r="W124" s="138">
        <v>4</v>
      </c>
      <c r="X124" s="138" t="s">
        <v>193</v>
      </c>
      <c r="Y124" s="213" t="s">
        <v>4</v>
      </c>
      <c r="Z124" s="143"/>
      <c r="AA124" s="143"/>
      <c r="AB124" s="143"/>
      <c r="AC124" s="143"/>
      <c r="AD124" s="143"/>
    </row>
    <row r="125" spans="1:30" ht="50.1" customHeight="1">
      <c r="A125" s="211" t="s">
        <v>560</v>
      </c>
      <c r="B125" s="138" t="s">
        <v>101</v>
      </c>
      <c r="C125" s="138" t="s">
        <v>101</v>
      </c>
      <c r="D125" s="138" t="s">
        <v>101</v>
      </c>
      <c r="E125" s="138" t="s">
        <v>101</v>
      </c>
      <c r="F125" s="138" t="s">
        <v>4</v>
      </c>
      <c r="G125" s="138" t="s">
        <v>101</v>
      </c>
      <c r="H125" s="138" t="s">
        <v>101</v>
      </c>
      <c r="I125" s="138" t="s">
        <v>101</v>
      </c>
      <c r="J125" s="138" t="s">
        <v>101</v>
      </c>
      <c r="K125" s="138">
        <v>2012</v>
      </c>
      <c r="L125" s="212" t="s">
        <v>5</v>
      </c>
      <c r="M125" s="138">
        <v>3</v>
      </c>
      <c r="N125" s="138">
        <v>120</v>
      </c>
      <c r="O125" s="138" t="s">
        <v>4</v>
      </c>
      <c r="P125" s="138" t="s">
        <v>4</v>
      </c>
      <c r="Q125" s="138" t="s">
        <v>4</v>
      </c>
      <c r="R125" s="138" t="s">
        <v>143</v>
      </c>
      <c r="S125" s="138" t="s">
        <v>101</v>
      </c>
      <c r="T125" s="138" t="s">
        <v>101</v>
      </c>
      <c r="U125" s="138">
        <v>2000</v>
      </c>
      <c r="V125" s="138" t="s">
        <v>101</v>
      </c>
      <c r="W125" s="138" t="s">
        <v>101</v>
      </c>
      <c r="X125" s="138" t="s">
        <v>193</v>
      </c>
      <c r="Y125" s="213" t="s">
        <v>4</v>
      </c>
      <c r="Z125" s="143"/>
      <c r="AA125" s="143"/>
      <c r="AB125" s="143"/>
      <c r="AC125" s="143"/>
      <c r="AD125" s="143"/>
    </row>
    <row r="126" spans="1:30" ht="50.1" customHeight="1">
      <c r="A126" s="211" t="s">
        <v>37</v>
      </c>
      <c r="B126" s="138" t="s">
        <v>101</v>
      </c>
      <c r="C126" s="138" t="s">
        <v>101</v>
      </c>
      <c r="D126" s="138" t="s">
        <v>101</v>
      </c>
      <c r="E126" s="138" t="s">
        <v>101</v>
      </c>
      <c r="F126" s="138" t="s">
        <v>101</v>
      </c>
      <c r="G126" s="138" t="s">
        <v>101</v>
      </c>
      <c r="H126" s="138" t="s">
        <v>101</v>
      </c>
      <c r="I126" s="138" t="s">
        <v>101</v>
      </c>
      <c r="J126" s="138" t="s">
        <v>101</v>
      </c>
      <c r="K126" s="138">
        <v>2007</v>
      </c>
      <c r="L126" s="212" t="s">
        <v>5</v>
      </c>
      <c r="M126" s="138">
        <v>4</v>
      </c>
      <c r="N126" s="138">
        <v>120</v>
      </c>
      <c r="O126" s="138" t="s">
        <v>27</v>
      </c>
      <c r="P126" s="138" t="s">
        <v>27</v>
      </c>
      <c r="Q126" s="138" t="s">
        <v>27</v>
      </c>
      <c r="R126" s="138" t="s">
        <v>143</v>
      </c>
      <c r="S126" s="138">
        <v>1.5</v>
      </c>
      <c r="T126" s="138" t="s">
        <v>101</v>
      </c>
      <c r="U126" s="138" t="s">
        <v>101</v>
      </c>
      <c r="V126" s="138" t="s">
        <v>101</v>
      </c>
      <c r="W126" s="138" t="s">
        <v>101</v>
      </c>
      <c r="X126" s="138" t="s">
        <v>193</v>
      </c>
      <c r="Y126" s="213" t="s">
        <v>101</v>
      </c>
      <c r="Z126" s="143"/>
      <c r="AA126" s="143"/>
      <c r="AB126" s="143"/>
      <c r="AC126" s="143"/>
      <c r="AD126" s="143"/>
    </row>
    <row r="127" spans="1:30" ht="50.1" customHeight="1">
      <c r="A127" s="211" t="s">
        <v>33</v>
      </c>
      <c r="B127" s="138" t="s">
        <v>101</v>
      </c>
      <c r="C127" s="138" t="s">
        <v>4</v>
      </c>
      <c r="D127" s="138" t="s">
        <v>101</v>
      </c>
      <c r="E127" s="138" t="s">
        <v>101</v>
      </c>
      <c r="F127" s="138" t="s">
        <v>101</v>
      </c>
      <c r="G127" s="138" t="s">
        <v>101</v>
      </c>
      <c r="H127" s="138" t="s">
        <v>101</v>
      </c>
      <c r="I127" s="138" t="s">
        <v>101</v>
      </c>
      <c r="J127" s="138" t="s">
        <v>101</v>
      </c>
      <c r="K127" s="138">
        <v>1955</v>
      </c>
      <c r="L127" s="212" t="s">
        <v>136</v>
      </c>
      <c r="M127" s="138">
        <v>5</v>
      </c>
      <c r="N127" s="138">
        <v>100</v>
      </c>
      <c r="O127" s="138" t="s">
        <v>4</v>
      </c>
      <c r="P127" s="138" t="s">
        <v>4</v>
      </c>
      <c r="Q127" s="138" t="s">
        <v>101</v>
      </c>
      <c r="R127" s="138" t="s">
        <v>143</v>
      </c>
      <c r="S127" s="138">
        <v>4</v>
      </c>
      <c r="T127" s="138" t="s">
        <v>101</v>
      </c>
      <c r="U127" s="138" t="s">
        <v>101</v>
      </c>
      <c r="V127" s="138" t="s">
        <v>101</v>
      </c>
      <c r="W127" s="138">
        <v>2</v>
      </c>
      <c r="X127" s="138" t="s">
        <v>193</v>
      </c>
      <c r="Y127" s="213" t="s">
        <v>101</v>
      </c>
      <c r="Z127" s="143"/>
      <c r="AA127" s="143"/>
      <c r="AB127" s="143"/>
      <c r="AC127" s="143"/>
      <c r="AD127" s="143"/>
    </row>
    <row r="128" spans="1:30" ht="50.1" customHeight="1">
      <c r="A128" s="211" t="s">
        <v>64</v>
      </c>
      <c r="B128" s="138" t="s">
        <v>101</v>
      </c>
      <c r="C128" s="138" t="s">
        <v>4</v>
      </c>
      <c r="D128" s="138" t="s">
        <v>101</v>
      </c>
      <c r="E128" s="138" t="s">
        <v>101</v>
      </c>
      <c r="F128" s="138" t="s">
        <v>101</v>
      </c>
      <c r="G128" s="138" t="s">
        <v>101</v>
      </c>
      <c r="H128" s="138" t="s">
        <v>101</v>
      </c>
      <c r="I128" s="138" t="s">
        <v>101</v>
      </c>
      <c r="J128" s="138" t="s">
        <v>101</v>
      </c>
      <c r="K128" s="138">
        <v>1960</v>
      </c>
      <c r="L128" s="212" t="s">
        <v>5</v>
      </c>
      <c r="M128" s="138">
        <v>5</v>
      </c>
      <c r="N128" s="138">
        <v>150</v>
      </c>
      <c r="O128" s="138" t="s">
        <v>101</v>
      </c>
      <c r="P128" s="138" t="s">
        <v>4</v>
      </c>
      <c r="Q128" s="138" t="s">
        <v>101</v>
      </c>
      <c r="R128" s="138" t="s">
        <v>143</v>
      </c>
      <c r="S128" s="138">
        <v>5</v>
      </c>
      <c r="T128" s="138" t="s">
        <v>101</v>
      </c>
      <c r="U128" s="138" t="s">
        <v>101</v>
      </c>
      <c r="V128" s="138" t="s">
        <v>101</v>
      </c>
      <c r="W128" s="138">
        <v>4</v>
      </c>
      <c r="X128" s="138" t="s">
        <v>193</v>
      </c>
      <c r="Y128" s="213" t="s">
        <v>101</v>
      </c>
      <c r="Z128" s="143"/>
      <c r="AA128" s="143"/>
      <c r="AB128" s="143"/>
      <c r="AC128" s="143"/>
      <c r="AD128" s="143"/>
    </row>
    <row r="129" spans="1:30" ht="50.1" customHeight="1">
      <c r="A129" s="211" t="s">
        <v>119</v>
      </c>
      <c r="B129" s="138" t="s">
        <v>4</v>
      </c>
      <c r="C129" s="138" t="s">
        <v>101</v>
      </c>
      <c r="D129" s="138" t="s">
        <v>101</v>
      </c>
      <c r="E129" s="138" t="s">
        <v>101</v>
      </c>
      <c r="F129" s="138" t="s">
        <v>101</v>
      </c>
      <c r="G129" s="138" t="s">
        <v>101</v>
      </c>
      <c r="H129" s="138" t="s">
        <v>101</v>
      </c>
      <c r="I129" s="138" t="s">
        <v>101</v>
      </c>
      <c r="J129" s="138" t="s">
        <v>101</v>
      </c>
      <c r="K129" s="138">
        <v>1965</v>
      </c>
      <c r="L129" s="212" t="s">
        <v>5</v>
      </c>
      <c r="M129" s="138">
        <v>4</v>
      </c>
      <c r="N129" s="138">
        <v>100</v>
      </c>
      <c r="O129" s="138" t="s">
        <v>4</v>
      </c>
      <c r="P129" s="138" t="s">
        <v>4</v>
      </c>
      <c r="Q129" s="138" t="s">
        <v>4</v>
      </c>
      <c r="R129" s="138" t="s">
        <v>144</v>
      </c>
      <c r="S129" s="138">
        <v>4</v>
      </c>
      <c r="T129" s="138" t="s">
        <v>101</v>
      </c>
      <c r="U129" s="138" t="s">
        <v>101</v>
      </c>
      <c r="V129" s="138" t="s">
        <v>101</v>
      </c>
      <c r="W129" s="138" t="s">
        <v>101</v>
      </c>
      <c r="X129" s="138">
        <v>3200</v>
      </c>
      <c r="Y129" s="213" t="s">
        <v>101</v>
      </c>
      <c r="Z129" s="143"/>
      <c r="AA129" s="143"/>
      <c r="AB129" s="143"/>
      <c r="AC129" s="143"/>
      <c r="AD129" s="143"/>
    </row>
    <row r="130" spans="1:30" ht="50.1" customHeight="1">
      <c r="A130" s="211" t="s">
        <v>122</v>
      </c>
      <c r="B130" s="138" t="s">
        <v>4</v>
      </c>
      <c r="C130" s="138" t="s">
        <v>101</v>
      </c>
      <c r="D130" s="138" t="s">
        <v>101</v>
      </c>
      <c r="E130" s="138" t="s">
        <v>101</v>
      </c>
      <c r="F130" s="138" t="s">
        <v>101</v>
      </c>
      <c r="G130" s="138" t="s">
        <v>101</v>
      </c>
      <c r="H130" s="138" t="s">
        <v>101</v>
      </c>
      <c r="I130" s="138" t="s">
        <v>101</v>
      </c>
      <c r="J130" s="138" t="s">
        <v>101</v>
      </c>
      <c r="K130" s="138">
        <v>1999</v>
      </c>
      <c r="L130" s="212" t="s">
        <v>136</v>
      </c>
      <c r="M130" s="138">
        <v>4</v>
      </c>
      <c r="N130" s="138">
        <v>140</v>
      </c>
      <c r="O130" s="138" t="s">
        <v>4</v>
      </c>
      <c r="P130" s="138" t="s">
        <v>4</v>
      </c>
      <c r="Q130" s="138" t="s">
        <v>4</v>
      </c>
      <c r="R130" s="138" t="s">
        <v>139</v>
      </c>
      <c r="S130" s="138">
        <v>3</v>
      </c>
      <c r="T130" s="138" t="s">
        <v>101</v>
      </c>
      <c r="U130" s="138" t="s">
        <v>101</v>
      </c>
      <c r="V130" s="138" t="s">
        <v>101</v>
      </c>
      <c r="W130" s="138" t="s">
        <v>101</v>
      </c>
      <c r="X130" s="138">
        <v>2100</v>
      </c>
      <c r="Y130" s="213" t="s">
        <v>101</v>
      </c>
      <c r="Z130" s="143"/>
      <c r="AA130" s="143"/>
      <c r="AB130" s="143"/>
      <c r="AC130" s="143"/>
      <c r="AD130" s="143"/>
    </row>
    <row r="131" spans="1:30" ht="50.1" customHeight="1">
      <c r="A131" s="211" t="s">
        <v>117</v>
      </c>
      <c r="B131" s="138" t="s">
        <v>101</v>
      </c>
      <c r="C131" s="138" t="s">
        <v>4</v>
      </c>
      <c r="D131" s="138" t="s">
        <v>101</v>
      </c>
      <c r="E131" s="138" t="s">
        <v>101</v>
      </c>
      <c r="F131" s="138" t="s">
        <v>101</v>
      </c>
      <c r="G131" s="138" t="s">
        <v>101</v>
      </c>
      <c r="H131" s="138" t="s">
        <v>101</v>
      </c>
      <c r="I131" s="138" t="s">
        <v>101</v>
      </c>
      <c r="J131" s="138" t="s">
        <v>101</v>
      </c>
      <c r="K131" s="138">
        <v>1970</v>
      </c>
      <c r="L131" s="212" t="s">
        <v>5</v>
      </c>
      <c r="M131" s="138">
        <v>2</v>
      </c>
      <c r="N131" s="138">
        <v>150</v>
      </c>
      <c r="O131" s="138" t="s">
        <v>101</v>
      </c>
      <c r="P131" s="138" t="s">
        <v>101</v>
      </c>
      <c r="Q131" s="138" t="s">
        <v>101</v>
      </c>
      <c r="R131" s="138" t="s">
        <v>139</v>
      </c>
      <c r="S131" s="138">
        <v>3</v>
      </c>
      <c r="T131" s="138" t="s">
        <v>101</v>
      </c>
      <c r="U131" s="138" t="s">
        <v>101</v>
      </c>
      <c r="V131" s="138" t="s">
        <v>101</v>
      </c>
      <c r="W131" s="138">
        <v>10</v>
      </c>
      <c r="X131" s="138">
        <v>4000</v>
      </c>
      <c r="Y131" s="213" t="s">
        <v>101</v>
      </c>
      <c r="Z131" s="143"/>
      <c r="AA131" s="143"/>
      <c r="AB131" s="143"/>
      <c r="AC131" s="143"/>
      <c r="AD131" s="143"/>
    </row>
    <row r="132" spans="1:30" ht="50.1" customHeight="1">
      <c r="A132" s="211" t="s">
        <v>118</v>
      </c>
      <c r="B132" s="138" t="s">
        <v>101</v>
      </c>
      <c r="C132" s="138" t="s">
        <v>4</v>
      </c>
      <c r="D132" s="138" t="s">
        <v>101</v>
      </c>
      <c r="E132" s="138" t="s">
        <v>101</v>
      </c>
      <c r="F132" s="138" t="s">
        <v>101</v>
      </c>
      <c r="G132" s="138" t="s">
        <v>101</v>
      </c>
      <c r="H132" s="138" t="s">
        <v>101</v>
      </c>
      <c r="I132" s="138" t="s">
        <v>101</v>
      </c>
      <c r="J132" s="138" t="s">
        <v>101</v>
      </c>
      <c r="K132" s="138" t="s">
        <v>27</v>
      </c>
      <c r="L132" s="212" t="s">
        <v>5</v>
      </c>
      <c r="M132" s="138">
        <v>5</v>
      </c>
      <c r="N132" s="138">
        <v>200</v>
      </c>
      <c r="O132" s="138" t="s">
        <v>4</v>
      </c>
      <c r="P132" s="138" t="s">
        <v>4</v>
      </c>
      <c r="Q132" s="138" t="s">
        <v>4</v>
      </c>
      <c r="R132" s="138" t="s">
        <v>139</v>
      </c>
      <c r="S132" s="138">
        <v>3</v>
      </c>
      <c r="T132" s="138" t="s">
        <v>101</v>
      </c>
      <c r="U132" s="138" t="s">
        <v>101</v>
      </c>
      <c r="V132" s="138" t="s">
        <v>101</v>
      </c>
      <c r="W132" s="138">
        <v>4</v>
      </c>
      <c r="X132" s="138">
        <v>3200</v>
      </c>
      <c r="Y132" s="213" t="s">
        <v>101</v>
      </c>
      <c r="Z132" s="143"/>
      <c r="AA132" s="143"/>
      <c r="AB132" s="143"/>
      <c r="AC132" s="143"/>
      <c r="AD132" s="143"/>
    </row>
    <row r="133" spans="1:30" ht="50.1" customHeight="1">
      <c r="A133" s="211" t="s">
        <v>120</v>
      </c>
      <c r="B133" s="138" t="s">
        <v>101</v>
      </c>
      <c r="C133" s="138" t="s">
        <v>4</v>
      </c>
      <c r="D133" s="138" t="s">
        <v>101</v>
      </c>
      <c r="E133" s="138" t="s">
        <v>101</v>
      </c>
      <c r="F133" s="138" t="s">
        <v>101</v>
      </c>
      <c r="G133" s="138" t="s">
        <v>101</v>
      </c>
      <c r="H133" s="138" t="s">
        <v>101</v>
      </c>
      <c r="I133" s="138" t="s">
        <v>101</v>
      </c>
      <c r="J133" s="138" t="s">
        <v>101</v>
      </c>
      <c r="K133" s="138" t="s">
        <v>121</v>
      </c>
      <c r="L133" s="212" t="s">
        <v>136</v>
      </c>
      <c r="M133" s="138">
        <v>3</v>
      </c>
      <c r="N133" s="138">
        <v>100</v>
      </c>
      <c r="O133" s="138" t="s">
        <v>4</v>
      </c>
      <c r="P133" s="138" t="s">
        <v>4</v>
      </c>
      <c r="Q133" s="138" t="s">
        <v>27</v>
      </c>
      <c r="R133" s="138" t="s">
        <v>139</v>
      </c>
      <c r="S133" s="138">
        <v>2.5</v>
      </c>
      <c r="T133" s="138" t="s">
        <v>101</v>
      </c>
      <c r="U133" s="138" t="s">
        <v>101</v>
      </c>
      <c r="V133" s="138" t="s">
        <v>101</v>
      </c>
      <c r="W133" s="138">
        <v>5</v>
      </c>
      <c r="X133" s="138">
        <v>3000</v>
      </c>
      <c r="Y133" s="213" t="s">
        <v>4</v>
      </c>
      <c r="Z133" s="143"/>
      <c r="AA133" s="143"/>
      <c r="AB133" s="143"/>
      <c r="AC133" s="143"/>
      <c r="AD133" s="143"/>
    </row>
    <row r="134" spans="1:30" ht="50.1" customHeight="1">
      <c r="A134" s="211" t="s">
        <v>116</v>
      </c>
      <c r="B134" s="138" t="s">
        <v>101</v>
      </c>
      <c r="C134" s="138" t="s">
        <v>4</v>
      </c>
      <c r="D134" s="138" t="s">
        <v>101</v>
      </c>
      <c r="E134" s="138" t="s">
        <v>101</v>
      </c>
      <c r="F134" s="138" t="s">
        <v>101</v>
      </c>
      <c r="G134" s="138" t="s">
        <v>101</v>
      </c>
      <c r="H134" s="138" t="s">
        <v>101</v>
      </c>
      <c r="I134" s="138" t="s">
        <v>101</v>
      </c>
      <c r="J134" s="138" t="s">
        <v>101</v>
      </c>
      <c r="K134" s="138">
        <v>1945</v>
      </c>
      <c r="L134" s="212" t="s">
        <v>136</v>
      </c>
      <c r="M134" s="138">
        <v>4</v>
      </c>
      <c r="N134" s="138">
        <v>80</v>
      </c>
      <c r="O134" s="138" t="s">
        <v>4</v>
      </c>
      <c r="P134" s="138" t="s">
        <v>4</v>
      </c>
      <c r="Q134" s="138" t="s">
        <v>4</v>
      </c>
      <c r="R134" s="138" t="s">
        <v>139</v>
      </c>
      <c r="S134" s="138">
        <v>3</v>
      </c>
      <c r="T134" s="138" t="s">
        <v>101</v>
      </c>
      <c r="U134" s="138" t="s">
        <v>101</v>
      </c>
      <c r="V134" s="138" t="s">
        <v>101</v>
      </c>
      <c r="W134" s="138">
        <v>5</v>
      </c>
      <c r="X134" s="138">
        <v>3400</v>
      </c>
      <c r="Y134" s="213" t="s">
        <v>101</v>
      </c>
      <c r="Z134" s="143"/>
      <c r="AA134" s="143"/>
      <c r="AB134" s="143"/>
      <c r="AC134" s="143"/>
      <c r="AD134" s="143"/>
    </row>
    <row r="135" spans="1:30" ht="50.1" customHeight="1">
      <c r="A135" s="211" t="s">
        <v>115</v>
      </c>
      <c r="B135" s="138" t="s">
        <v>101</v>
      </c>
      <c r="C135" s="138" t="s">
        <v>4</v>
      </c>
      <c r="D135" s="138" t="s">
        <v>101</v>
      </c>
      <c r="E135" s="138" t="s">
        <v>101</v>
      </c>
      <c r="F135" s="138" t="s">
        <v>101</v>
      </c>
      <c r="G135" s="138" t="s">
        <v>101</v>
      </c>
      <c r="H135" s="138" t="s">
        <v>101</v>
      </c>
      <c r="I135" s="138" t="s">
        <v>101</v>
      </c>
      <c r="J135" s="138" t="s">
        <v>101</v>
      </c>
      <c r="K135" s="138">
        <v>1969</v>
      </c>
      <c r="L135" s="212" t="s">
        <v>5</v>
      </c>
      <c r="M135" s="138">
        <v>3</v>
      </c>
      <c r="N135" s="138">
        <v>130</v>
      </c>
      <c r="O135" s="138" t="s">
        <v>101</v>
      </c>
      <c r="P135" s="138" t="s">
        <v>4</v>
      </c>
      <c r="Q135" s="138" t="s">
        <v>101</v>
      </c>
      <c r="R135" s="138" t="s">
        <v>143</v>
      </c>
      <c r="S135" s="138">
        <v>4</v>
      </c>
      <c r="T135" s="138" t="s">
        <v>101</v>
      </c>
      <c r="U135" s="138" t="s">
        <v>101</v>
      </c>
      <c r="V135" s="138" t="s">
        <v>101</v>
      </c>
      <c r="W135" s="138">
        <v>2</v>
      </c>
      <c r="X135" s="138">
        <v>3500</v>
      </c>
      <c r="Y135" s="213" t="s">
        <v>4</v>
      </c>
      <c r="Z135" s="143"/>
      <c r="AA135" s="143"/>
      <c r="AB135" s="143"/>
      <c r="AC135" s="143"/>
      <c r="AD135" s="143"/>
    </row>
    <row r="136" spans="1:30" ht="50.1" customHeight="1">
      <c r="A136" s="211" t="s">
        <v>114</v>
      </c>
      <c r="B136" s="138" t="s">
        <v>101</v>
      </c>
      <c r="C136" s="138" t="s">
        <v>4</v>
      </c>
      <c r="D136" s="138" t="s">
        <v>101</v>
      </c>
      <c r="E136" s="138" t="s">
        <v>101</v>
      </c>
      <c r="F136" s="138" t="s">
        <v>101</v>
      </c>
      <c r="G136" s="138" t="s">
        <v>101</v>
      </c>
      <c r="H136" s="138" t="s">
        <v>101</v>
      </c>
      <c r="I136" s="138" t="s">
        <v>101</v>
      </c>
      <c r="J136" s="138" t="s">
        <v>101</v>
      </c>
      <c r="K136" s="138">
        <v>1970</v>
      </c>
      <c r="L136" s="212" t="s">
        <v>136</v>
      </c>
      <c r="M136" s="138">
        <v>5</v>
      </c>
      <c r="N136" s="138">
        <v>100</v>
      </c>
      <c r="O136" s="138" t="s">
        <v>4</v>
      </c>
      <c r="P136" s="138" t="s">
        <v>4</v>
      </c>
      <c r="Q136" s="138" t="s">
        <v>4</v>
      </c>
      <c r="R136" s="138" t="s">
        <v>139</v>
      </c>
      <c r="S136" s="138">
        <v>2</v>
      </c>
      <c r="T136" s="138" t="s">
        <v>101</v>
      </c>
      <c r="U136" s="138" t="s">
        <v>101</v>
      </c>
      <c r="V136" s="138" t="s">
        <v>101</v>
      </c>
      <c r="W136" s="138">
        <v>10</v>
      </c>
      <c r="X136" s="138" t="s">
        <v>193</v>
      </c>
      <c r="Y136" s="213" t="s">
        <v>101</v>
      </c>
      <c r="Z136" s="143"/>
      <c r="AA136" s="143"/>
      <c r="AB136" s="143"/>
      <c r="AC136" s="143"/>
      <c r="AD136" s="143"/>
    </row>
    <row r="137" spans="1:30" ht="50.1" customHeight="1">
      <c r="A137" s="211" t="s">
        <v>113</v>
      </c>
      <c r="B137" s="138" t="s">
        <v>101</v>
      </c>
      <c r="C137" s="138" t="s">
        <v>4</v>
      </c>
      <c r="D137" s="138" t="s">
        <v>101</v>
      </c>
      <c r="E137" s="138" t="s">
        <v>101</v>
      </c>
      <c r="F137" s="138" t="s">
        <v>101</v>
      </c>
      <c r="G137" s="138" t="s">
        <v>101</v>
      </c>
      <c r="H137" s="138" t="s">
        <v>101</v>
      </c>
      <c r="I137" s="138" t="s">
        <v>101</v>
      </c>
      <c r="J137" s="138" t="s">
        <v>101</v>
      </c>
      <c r="K137" s="138">
        <v>1948</v>
      </c>
      <c r="L137" s="212" t="s">
        <v>136</v>
      </c>
      <c r="M137" s="138">
        <v>4</v>
      </c>
      <c r="N137" s="138">
        <v>60</v>
      </c>
      <c r="O137" s="138" t="s">
        <v>4</v>
      </c>
      <c r="P137" s="138" t="s">
        <v>4</v>
      </c>
      <c r="Q137" s="138" t="s">
        <v>101</v>
      </c>
      <c r="R137" s="138" t="s">
        <v>139</v>
      </c>
      <c r="S137" s="138">
        <v>2.5</v>
      </c>
      <c r="T137" s="138" t="s">
        <v>101</v>
      </c>
      <c r="U137" s="138" t="s">
        <v>101</v>
      </c>
      <c r="V137" s="138" t="s">
        <v>101</v>
      </c>
      <c r="W137" s="138">
        <v>10</v>
      </c>
      <c r="X137" s="138" t="s">
        <v>193</v>
      </c>
      <c r="Y137" s="213" t="s">
        <v>101</v>
      </c>
      <c r="Z137" s="143"/>
      <c r="AA137" s="143"/>
      <c r="AB137" s="143"/>
      <c r="AC137" s="143"/>
      <c r="AD137" s="143"/>
    </row>
    <row r="138" spans="1:30" ht="50.1" customHeight="1">
      <c r="A138" s="211" t="s">
        <v>156</v>
      </c>
      <c r="B138" s="138" t="s">
        <v>4</v>
      </c>
      <c r="C138" s="138" t="s">
        <v>101</v>
      </c>
      <c r="D138" s="138" t="s">
        <v>101</v>
      </c>
      <c r="E138" s="138" t="s">
        <v>101</v>
      </c>
      <c r="F138" s="138" t="s">
        <v>101</v>
      </c>
      <c r="G138" s="138" t="s">
        <v>101</v>
      </c>
      <c r="H138" s="138" t="s">
        <v>101</v>
      </c>
      <c r="I138" s="138" t="s">
        <v>101</v>
      </c>
      <c r="J138" s="138" t="s">
        <v>101</v>
      </c>
      <c r="K138" s="138">
        <v>1975</v>
      </c>
      <c r="L138" s="212" t="s">
        <v>5</v>
      </c>
      <c r="M138" s="138">
        <v>6</v>
      </c>
      <c r="N138" s="138">
        <v>170</v>
      </c>
      <c r="O138" s="138" t="s">
        <v>4</v>
      </c>
      <c r="P138" s="138" t="s">
        <v>4</v>
      </c>
      <c r="Q138" s="138" t="s">
        <v>4</v>
      </c>
      <c r="R138" s="138" t="s">
        <v>143</v>
      </c>
      <c r="S138" s="138">
        <v>7</v>
      </c>
      <c r="T138" s="138" t="s">
        <v>101</v>
      </c>
      <c r="U138" s="138" t="s">
        <v>101</v>
      </c>
      <c r="V138" s="138" t="s">
        <v>101</v>
      </c>
      <c r="W138" s="138" t="s">
        <v>101</v>
      </c>
      <c r="X138" s="138" t="s">
        <v>193</v>
      </c>
      <c r="Y138" s="213" t="s">
        <v>4</v>
      </c>
      <c r="Z138" s="143"/>
      <c r="AA138" s="143"/>
      <c r="AB138" s="143"/>
      <c r="AC138" s="143"/>
      <c r="AD138" s="143"/>
    </row>
    <row r="139" spans="1:30" ht="50.1" customHeight="1">
      <c r="A139" s="211" t="s">
        <v>155</v>
      </c>
      <c r="B139" s="138" t="s">
        <v>101</v>
      </c>
      <c r="C139" s="138" t="s">
        <v>4</v>
      </c>
      <c r="D139" s="138" t="s">
        <v>101</v>
      </c>
      <c r="E139" s="138" t="s">
        <v>101</v>
      </c>
      <c r="F139" s="138" t="s">
        <v>101</v>
      </c>
      <c r="G139" s="138" t="s">
        <v>101</v>
      </c>
      <c r="H139" s="138" t="s">
        <v>101</v>
      </c>
      <c r="I139" s="138" t="s">
        <v>101</v>
      </c>
      <c r="J139" s="138" t="s">
        <v>101</v>
      </c>
      <c r="K139" s="138">
        <v>2000</v>
      </c>
      <c r="L139" s="212" t="s">
        <v>137</v>
      </c>
      <c r="M139" s="138">
        <v>8</v>
      </c>
      <c r="N139" s="138">
        <v>250</v>
      </c>
      <c r="O139" s="138" t="s">
        <v>4</v>
      </c>
      <c r="P139" s="138" t="s">
        <v>4</v>
      </c>
      <c r="Q139" s="138" t="s">
        <v>4</v>
      </c>
      <c r="R139" s="138" t="s">
        <v>143</v>
      </c>
      <c r="S139" s="138">
        <v>8</v>
      </c>
      <c r="T139" s="138" t="s">
        <v>101</v>
      </c>
      <c r="U139" s="138" t="s">
        <v>101</v>
      </c>
      <c r="V139" s="138" t="s">
        <v>101</v>
      </c>
      <c r="W139" s="138">
        <v>4</v>
      </c>
      <c r="X139" s="138" t="s">
        <v>193</v>
      </c>
      <c r="Y139" s="213" t="s">
        <v>4</v>
      </c>
      <c r="Z139" s="143"/>
      <c r="AA139" s="143"/>
      <c r="AB139" s="143"/>
      <c r="AC139" s="143"/>
      <c r="AD139" s="143"/>
    </row>
    <row r="140" spans="1:30" ht="50.1" customHeight="1">
      <c r="A140" s="211" t="s">
        <v>85</v>
      </c>
      <c r="B140" s="138" t="s">
        <v>101</v>
      </c>
      <c r="C140" s="138" t="s">
        <v>4</v>
      </c>
      <c r="D140" s="138" t="s">
        <v>101</v>
      </c>
      <c r="E140" s="138" t="s">
        <v>101</v>
      </c>
      <c r="F140" s="138" t="s">
        <v>101</v>
      </c>
      <c r="G140" s="138" t="s">
        <v>101</v>
      </c>
      <c r="H140" s="138" t="s">
        <v>101</v>
      </c>
      <c r="I140" s="138" t="s">
        <v>101</v>
      </c>
      <c r="J140" s="138" t="s">
        <v>101</v>
      </c>
      <c r="K140" s="138">
        <v>1965</v>
      </c>
      <c r="L140" s="212" t="s">
        <v>136</v>
      </c>
      <c r="M140" s="138">
        <v>2</v>
      </c>
      <c r="N140" s="138">
        <v>60</v>
      </c>
      <c r="O140" s="138" t="s">
        <v>4</v>
      </c>
      <c r="P140" s="138" t="s">
        <v>4</v>
      </c>
      <c r="Q140" s="138" t="s">
        <v>101</v>
      </c>
      <c r="R140" s="138" t="s">
        <v>143</v>
      </c>
      <c r="S140" s="138">
        <v>3</v>
      </c>
      <c r="T140" s="138" t="s">
        <v>101</v>
      </c>
      <c r="U140" s="138" t="s">
        <v>101</v>
      </c>
      <c r="V140" s="138" t="s">
        <v>101</v>
      </c>
      <c r="W140" s="138">
        <v>3</v>
      </c>
      <c r="X140" s="138" t="s">
        <v>193</v>
      </c>
      <c r="Y140" s="213" t="s">
        <v>101</v>
      </c>
      <c r="Z140" s="143"/>
      <c r="AA140" s="143"/>
      <c r="AB140" s="143"/>
      <c r="AC140" s="143"/>
      <c r="AD140" s="143"/>
    </row>
    <row r="141" spans="1:30" ht="50.1" customHeight="1">
      <c r="A141" s="211" t="s">
        <v>86</v>
      </c>
      <c r="B141" s="138" t="s">
        <v>101</v>
      </c>
      <c r="C141" s="138" t="s">
        <v>4</v>
      </c>
      <c r="D141" s="138" t="s">
        <v>101</v>
      </c>
      <c r="E141" s="138" t="s">
        <v>101</v>
      </c>
      <c r="F141" s="138" t="s">
        <v>101</v>
      </c>
      <c r="G141" s="138" t="s">
        <v>101</v>
      </c>
      <c r="H141" s="138" t="s">
        <v>101</v>
      </c>
      <c r="I141" s="138" t="s">
        <v>101</v>
      </c>
      <c r="J141" s="138" t="s">
        <v>101</v>
      </c>
      <c r="K141" s="138">
        <v>1955</v>
      </c>
      <c r="L141" s="212" t="s">
        <v>136</v>
      </c>
      <c r="M141" s="138">
        <v>5</v>
      </c>
      <c r="N141" s="138">
        <v>200</v>
      </c>
      <c r="O141" s="138" t="s">
        <v>101</v>
      </c>
      <c r="P141" s="138" t="s">
        <v>4</v>
      </c>
      <c r="Q141" s="138" t="s">
        <v>101</v>
      </c>
      <c r="R141" s="138" t="s">
        <v>143</v>
      </c>
      <c r="S141" s="138">
        <v>7</v>
      </c>
      <c r="T141" s="138" t="s">
        <v>101</v>
      </c>
      <c r="U141" s="138" t="s">
        <v>101</v>
      </c>
      <c r="V141" s="138" t="s">
        <v>101</v>
      </c>
      <c r="W141" s="138">
        <v>3</v>
      </c>
      <c r="X141" s="138" t="s">
        <v>193</v>
      </c>
      <c r="Y141" s="213" t="s">
        <v>101</v>
      </c>
      <c r="Z141" s="143"/>
      <c r="AA141" s="143"/>
      <c r="AB141" s="143"/>
      <c r="AC141" s="143"/>
      <c r="AD141" s="143"/>
    </row>
    <row r="142" spans="1:30" ht="50.1" customHeight="1">
      <c r="A142" s="211" t="s">
        <v>169</v>
      </c>
      <c r="B142" s="138" t="s">
        <v>101</v>
      </c>
      <c r="C142" s="138" t="s">
        <v>4</v>
      </c>
      <c r="D142" s="138" t="s">
        <v>101</v>
      </c>
      <c r="E142" s="138" t="s">
        <v>101</v>
      </c>
      <c r="F142" s="138" t="s">
        <v>101</v>
      </c>
      <c r="G142" s="138" t="s">
        <v>101</v>
      </c>
      <c r="H142" s="138" t="s">
        <v>101</v>
      </c>
      <c r="I142" s="138" t="s">
        <v>101</v>
      </c>
      <c r="J142" s="138" t="s">
        <v>101</v>
      </c>
      <c r="K142" s="138">
        <v>1950</v>
      </c>
      <c r="L142" s="212" t="s">
        <v>5</v>
      </c>
      <c r="M142" s="138">
        <v>7</v>
      </c>
      <c r="N142" s="138">
        <v>200</v>
      </c>
      <c r="O142" s="138" t="s">
        <v>4</v>
      </c>
      <c r="P142" s="138" t="s">
        <v>4</v>
      </c>
      <c r="Q142" s="138" t="s">
        <v>4</v>
      </c>
      <c r="R142" s="138" t="s">
        <v>139</v>
      </c>
      <c r="S142" s="138">
        <v>2</v>
      </c>
      <c r="T142" s="138" t="s">
        <v>101</v>
      </c>
      <c r="U142" s="138" t="s">
        <v>101</v>
      </c>
      <c r="V142" s="138" t="s">
        <v>101</v>
      </c>
      <c r="W142" s="138">
        <v>5</v>
      </c>
      <c r="X142" s="138" t="s">
        <v>193</v>
      </c>
      <c r="Y142" s="213" t="s">
        <v>101</v>
      </c>
      <c r="Z142" s="143"/>
      <c r="AA142" s="143"/>
      <c r="AB142" s="143"/>
      <c r="AC142" s="143"/>
      <c r="AD142" s="143"/>
    </row>
    <row r="143" spans="1:30" ht="50.1" customHeight="1">
      <c r="A143" s="211" t="s">
        <v>161</v>
      </c>
      <c r="B143" s="138" t="s">
        <v>4</v>
      </c>
      <c r="C143" s="138" t="s">
        <v>101</v>
      </c>
      <c r="D143" s="138" t="s">
        <v>101</v>
      </c>
      <c r="E143" s="138" t="s">
        <v>101</v>
      </c>
      <c r="F143" s="138" t="s">
        <v>101</v>
      </c>
      <c r="G143" s="138" t="s">
        <v>101</v>
      </c>
      <c r="H143" s="138" t="s">
        <v>101</v>
      </c>
      <c r="I143" s="138" t="s">
        <v>101</v>
      </c>
      <c r="J143" s="138" t="s">
        <v>101</v>
      </c>
      <c r="K143" s="138">
        <v>2010</v>
      </c>
      <c r="L143" s="212" t="s">
        <v>5</v>
      </c>
      <c r="M143" s="138">
        <v>4</v>
      </c>
      <c r="N143" s="138">
        <v>140</v>
      </c>
      <c r="O143" s="138" t="s">
        <v>4</v>
      </c>
      <c r="P143" s="138" t="s">
        <v>4</v>
      </c>
      <c r="Q143" s="138" t="s">
        <v>4</v>
      </c>
      <c r="R143" s="138" t="s">
        <v>417</v>
      </c>
      <c r="S143" s="138" t="s">
        <v>101</v>
      </c>
      <c r="T143" s="138">
        <v>3.5</v>
      </c>
      <c r="U143" s="138" t="s">
        <v>101</v>
      </c>
      <c r="V143" s="138" t="s">
        <v>101</v>
      </c>
      <c r="W143" s="138" t="s">
        <v>101</v>
      </c>
      <c r="X143" s="138" t="s">
        <v>193</v>
      </c>
      <c r="Y143" s="213" t="s">
        <v>101</v>
      </c>
      <c r="Z143" s="143"/>
      <c r="AA143" s="143"/>
      <c r="AB143" s="143"/>
      <c r="AC143" s="143"/>
      <c r="AD143" s="143"/>
    </row>
    <row r="144" spans="1:30" ht="50.1" customHeight="1">
      <c r="A144" s="211" t="s">
        <v>162</v>
      </c>
      <c r="B144" s="138" t="s">
        <v>4</v>
      </c>
      <c r="C144" s="138" t="s">
        <v>101</v>
      </c>
      <c r="D144" s="138" t="s">
        <v>101</v>
      </c>
      <c r="E144" s="138" t="s">
        <v>101</v>
      </c>
      <c r="F144" s="138" t="s">
        <v>101</v>
      </c>
      <c r="G144" s="138" t="s">
        <v>101</v>
      </c>
      <c r="H144" s="138" t="s">
        <v>101</v>
      </c>
      <c r="I144" s="138" t="s">
        <v>101</v>
      </c>
      <c r="J144" s="138" t="s">
        <v>101</v>
      </c>
      <c r="K144" s="138">
        <v>2011</v>
      </c>
      <c r="L144" s="212" t="s">
        <v>5</v>
      </c>
      <c r="M144" s="138">
        <v>4</v>
      </c>
      <c r="N144" s="138">
        <v>110</v>
      </c>
      <c r="O144" s="138" t="s">
        <v>4</v>
      </c>
      <c r="P144" s="138" t="s">
        <v>4</v>
      </c>
      <c r="Q144" s="138" t="s">
        <v>4</v>
      </c>
      <c r="R144" s="138" t="s">
        <v>143</v>
      </c>
      <c r="S144" s="138" t="s">
        <v>101</v>
      </c>
      <c r="T144" s="138">
        <v>4</v>
      </c>
      <c r="U144" s="138" t="s">
        <v>101</v>
      </c>
      <c r="V144" s="138" t="s">
        <v>101</v>
      </c>
      <c r="W144" s="138" t="s">
        <v>101</v>
      </c>
      <c r="X144" s="138" t="s">
        <v>193</v>
      </c>
      <c r="Y144" s="213" t="s">
        <v>101</v>
      </c>
      <c r="Z144" s="143"/>
      <c r="AA144" s="143"/>
      <c r="AB144" s="143"/>
      <c r="AC144" s="143"/>
      <c r="AD144" s="143"/>
    </row>
    <row r="145" spans="1:30" ht="50.1" customHeight="1">
      <c r="A145" s="211" t="s">
        <v>201</v>
      </c>
      <c r="B145" s="138" t="s">
        <v>4</v>
      </c>
      <c r="C145" s="138" t="s">
        <v>101</v>
      </c>
      <c r="D145" s="138" t="s">
        <v>101</v>
      </c>
      <c r="E145" s="138" t="s">
        <v>101</v>
      </c>
      <c r="F145" s="138" t="s">
        <v>101</v>
      </c>
      <c r="G145" s="138" t="s">
        <v>101</v>
      </c>
      <c r="H145" s="138" t="s">
        <v>101</v>
      </c>
      <c r="I145" s="138" t="s">
        <v>101</v>
      </c>
      <c r="J145" s="138" t="s">
        <v>101</v>
      </c>
      <c r="K145" s="138">
        <v>1935</v>
      </c>
      <c r="L145" s="212" t="s">
        <v>7</v>
      </c>
      <c r="M145" s="138">
        <v>1</v>
      </c>
      <c r="N145" s="138">
        <v>47.5</v>
      </c>
      <c r="O145" s="138" t="s">
        <v>101</v>
      </c>
      <c r="P145" s="138" t="s">
        <v>101</v>
      </c>
      <c r="Q145" s="138" t="s">
        <v>101</v>
      </c>
      <c r="R145" s="138" t="s">
        <v>419</v>
      </c>
      <c r="S145" s="138">
        <v>4</v>
      </c>
      <c r="T145" s="138" t="s">
        <v>101</v>
      </c>
      <c r="U145" s="138" t="s">
        <v>101</v>
      </c>
      <c r="V145" s="138" t="s">
        <v>101</v>
      </c>
      <c r="W145" s="138" t="s">
        <v>101</v>
      </c>
      <c r="X145" s="138" t="s">
        <v>193</v>
      </c>
      <c r="Y145" s="213" t="s">
        <v>101</v>
      </c>
      <c r="Z145" s="143"/>
      <c r="AA145" s="143"/>
      <c r="AB145" s="143"/>
      <c r="AC145" s="143"/>
      <c r="AD145" s="143"/>
    </row>
    <row r="146" spans="1:30" ht="50.1" customHeight="1">
      <c r="A146" s="211" t="s">
        <v>202</v>
      </c>
      <c r="B146" s="138" t="s">
        <v>101</v>
      </c>
      <c r="C146" s="138" t="s">
        <v>4</v>
      </c>
      <c r="D146" s="138" t="s">
        <v>101</v>
      </c>
      <c r="E146" s="138" t="s">
        <v>101</v>
      </c>
      <c r="F146" s="138" t="s">
        <v>101</v>
      </c>
      <c r="G146" s="138" t="s">
        <v>101</v>
      </c>
      <c r="H146" s="138" t="s">
        <v>101</v>
      </c>
      <c r="I146" s="138" t="s">
        <v>101</v>
      </c>
      <c r="J146" s="138" t="s">
        <v>101</v>
      </c>
      <c r="K146" s="138">
        <v>1936</v>
      </c>
      <c r="L146" s="212" t="s">
        <v>7</v>
      </c>
      <c r="M146" s="138">
        <v>2</v>
      </c>
      <c r="N146" s="138">
        <v>60</v>
      </c>
      <c r="O146" s="138" t="s">
        <v>101</v>
      </c>
      <c r="P146" s="138" t="s">
        <v>101</v>
      </c>
      <c r="Q146" s="138" t="s">
        <v>101</v>
      </c>
      <c r="R146" s="138" t="s">
        <v>561</v>
      </c>
      <c r="S146" s="138">
        <v>2</v>
      </c>
      <c r="T146" s="138" t="s">
        <v>101</v>
      </c>
      <c r="U146" s="138" t="s">
        <v>101</v>
      </c>
      <c r="V146" s="138" t="s">
        <v>101</v>
      </c>
      <c r="W146" s="138">
        <v>6</v>
      </c>
      <c r="X146" s="138">
        <v>3500</v>
      </c>
      <c r="Y146" s="213" t="s">
        <v>101</v>
      </c>
      <c r="Z146" s="143"/>
      <c r="AA146" s="143"/>
      <c r="AB146" s="143"/>
      <c r="AC146" s="143"/>
      <c r="AD146" s="143"/>
    </row>
    <row r="147" spans="1:30" ht="50.1" customHeight="1">
      <c r="A147" s="211" t="s">
        <v>202</v>
      </c>
      <c r="B147" s="138" t="s">
        <v>4</v>
      </c>
      <c r="C147" s="138" t="s">
        <v>101</v>
      </c>
      <c r="D147" s="138" t="s">
        <v>101</v>
      </c>
      <c r="E147" s="138" t="s">
        <v>101</v>
      </c>
      <c r="F147" s="138" t="s">
        <v>101</v>
      </c>
      <c r="G147" s="138" t="s">
        <v>101</v>
      </c>
      <c r="H147" s="138" t="s">
        <v>101</v>
      </c>
      <c r="I147" s="138" t="s">
        <v>101</v>
      </c>
      <c r="J147" s="138" t="s">
        <v>101</v>
      </c>
      <c r="K147" s="138">
        <v>1935</v>
      </c>
      <c r="L147" s="212" t="s">
        <v>5</v>
      </c>
      <c r="M147" s="138">
        <v>3</v>
      </c>
      <c r="N147" s="138">
        <v>50</v>
      </c>
      <c r="O147" s="138" t="s">
        <v>4</v>
      </c>
      <c r="P147" s="138" t="s">
        <v>4</v>
      </c>
      <c r="Q147" s="138" t="s">
        <v>4</v>
      </c>
      <c r="R147" s="138" t="s">
        <v>143</v>
      </c>
      <c r="S147" s="138">
        <v>5</v>
      </c>
      <c r="T147" s="138" t="s">
        <v>101</v>
      </c>
      <c r="U147" s="138" t="s">
        <v>101</v>
      </c>
      <c r="V147" s="138" t="s">
        <v>101</v>
      </c>
      <c r="W147" s="138" t="s">
        <v>101</v>
      </c>
      <c r="X147" s="138" t="s">
        <v>193</v>
      </c>
      <c r="Y147" s="213" t="s">
        <v>101</v>
      </c>
      <c r="Z147" s="143"/>
      <c r="AA147" s="143"/>
      <c r="AB147" s="143"/>
      <c r="AC147" s="143"/>
      <c r="AD147" s="143"/>
    </row>
    <row r="148" spans="1:30" ht="50.1" customHeight="1">
      <c r="A148" s="211" t="s">
        <v>203</v>
      </c>
      <c r="B148" s="138" t="s">
        <v>101</v>
      </c>
      <c r="C148" s="138" t="s">
        <v>4</v>
      </c>
      <c r="D148" s="138" t="s">
        <v>101</v>
      </c>
      <c r="E148" s="138" t="s">
        <v>101</v>
      </c>
      <c r="F148" s="138" t="s">
        <v>101</v>
      </c>
      <c r="G148" s="138" t="s">
        <v>101</v>
      </c>
      <c r="H148" s="138" t="s">
        <v>101</v>
      </c>
      <c r="I148" s="138" t="s">
        <v>101</v>
      </c>
      <c r="J148" s="138" t="s">
        <v>101</v>
      </c>
      <c r="K148" s="138">
        <v>1970</v>
      </c>
      <c r="L148" s="212" t="s">
        <v>5</v>
      </c>
      <c r="M148" s="138">
        <v>3</v>
      </c>
      <c r="N148" s="138">
        <v>220</v>
      </c>
      <c r="O148" s="138" t="s">
        <v>4</v>
      </c>
      <c r="P148" s="138" t="s">
        <v>4</v>
      </c>
      <c r="Q148" s="138" t="s">
        <v>101</v>
      </c>
      <c r="R148" s="138" t="s">
        <v>143</v>
      </c>
      <c r="S148" s="138">
        <v>5</v>
      </c>
      <c r="T148" s="138" t="s">
        <v>101</v>
      </c>
      <c r="U148" s="138" t="s">
        <v>101</v>
      </c>
      <c r="V148" s="138" t="s">
        <v>101</v>
      </c>
      <c r="W148" s="138" t="s">
        <v>101</v>
      </c>
      <c r="X148" s="138" t="s">
        <v>193</v>
      </c>
      <c r="Y148" s="213" t="s">
        <v>101</v>
      </c>
      <c r="Z148" s="143"/>
      <c r="AA148" s="143"/>
      <c r="AB148" s="143"/>
      <c r="AC148" s="143"/>
      <c r="AD148" s="143"/>
    </row>
    <row r="149" spans="1:30" ht="50.1" customHeight="1">
      <c r="A149" s="211" t="s">
        <v>93</v>
      </c>
      <c r="B149" s="138" t="s">
        <v>101</v>
      </c>
      <c r="C149" s="138" t="s">
        <v>4</v>
      </c>
      <c r="D149" s="138" t="s">
        <v>101</v>
      </c>
      <c r="E149" s="138" t="s">
        <v>101</v>
      </c>
      <c r="F149" s="138" t="s">
        <v>101</v>
      </c>
      <c r="G149" s="138" t="s">
        <v>101</v>
      </c>
      <c r="H149" s="138" t="s">
        <v>101</v>
      </c>
      <c r="I149" s="138" t="s">
        <v>101</v>
      </c>
      <c r="J149" s="138" t="s">
        <v>101</v>
      </c>
      <c r="K149" s="138">
        <v>2003</v>
      </c>
      <c r="L149" s="212" t="s">
        <v>5</v>
      </c>
      <c r="M149" s="138">
        <v>3</v>
      </c>
      <c r="N149" s="138">
        <v>150</v>
      </c>
      <c r="O149" s="138" t="s">
        <v>4</v>
      </c>
      <c r="P149" s="138" t="s">
        <v>4</v>
      </c>
      <c r="Q149" s="138" t="s">
        <v>4</v>
      </c>
      <c r="R149" s="138" t="s">
        <v>139</v>
      </c>
      <c r="S149" s="138">
        <v>4</v>
      </c>
      <c r="T149" s="138" t="s">
        <v>101</v>
      </c>
      <c r="U149" s="138" t="s">
        <v>101</v>
      </c>
      <c r="V149" s="138" t="s">
        <v>101</v>
      </c>
      <c r="W149" s="138">
        <v>3</v>
      </c>
      <c r="X149" s="138" t="s">
        <v>193</v>
      </c>
      <c r="Y149" s="213" t="s">
        <v>101</v>
      </c>
      <c r="Z149" s="143"/>
      <c r="AA149" s="143"/>
      <c r="AB149" s="143"/>
      <c r="AC149" s="143"/>
      <c r="AD149" s="143"/>
    </row>
    <row r="150" spans="1:30" ht="50.1" customHeight="1">
      <c r="A150" s="211" t="s">
        <v>173</v>
      </c>
      <c r="B150" s="138" t="s">
        <v>101</v>
      </c>
      <c r="C150" s="138" t="s">
        <v>4</v>
      </c>
      <c r="D150" s="138" t="s">
        <v>101</v>
      </c>
      <c r="E150" s="138" t="s">
        <v>101</v>
      </c>
      <c r="F150" s="138" t="s">
        <v>101</v>
      </c>
      <c r="G150" s="138" t="s">
        <v>101</v>
      </c>
      <c r="H150" s="138" t="s">
        <v>101</v>
      </c>
      <c r="I150" s="138" t="s">
        <v>101</v>
      </c>
      <c r="J150" s="138" t="s">
        <v>101</v>
      </c>
      <c r="K150" s="138">
        <v>1950</v>
      </c>
      <c r="L150" s="212" t="s">
        <v>5</v>
      </c>
      <c r="M150" s="138">
        <v>4</v>
      </c>
      <c r="N150" s="138">
        <v>100</v>
      </c>
      <c r="O150" s="138" t="s">
        <v>101</v>
      </c>
      <c r="P150" s="138" t="s">
        <v>101</v>
      </c>
      <c r="Q150" s="138" t="s">
        <v>101</v>
      </c>
      <c r="R150" s="138" t="s">
        <v>143</v>
      </c>
      <c r="S150" s="138" t="s">
        <v>101</v>
      </c>
      <c r="T150" s="138" t="s">
        <v>101</v>
      </c>
      <c r="U150" s="138" t="s">
        <v>101</v>
      </c>
      <c r="V150" s="138" t="s">
        <v>101</v>
      </c>
      <c r="W150" s="138" t="s">
        <v>101</v>
      </c>
      <c r="X150" s="138" t="s">
        <v>193</v>
      </c>
      <c r="Y150" s="213" t="s">
        <v>101</v>
      </c>
      <c r="Z150" s="143"/>
      <c r="AA150" s="143"/>
      <c r="AB150" s="143"/>
      <c r="AC150" s="143"/>
      <c r="AD150" s="143"/>
    </row>
    <row r="151" spans="1:30" ht="50.1" customHeight="1">
      <c r="A151" s="211" t="s">
        <v>92</v>
      </c>
      <c r="B151" s="138" t="s">
        <v>101</v>
      </c>
      <c r="C151" s="138" t="s">
        <v>4</v>
      </c>
      <c r="D151" s="138" t="s">
        <v>101</v>
      </c>
      <c r="E151" s="138" t="s">
        <v>101</v>
      </c>
      <c r="F151" s="138" t="s">
        <v>101</v>
      </c>
      <c r="G151" s="138" t="s">
        <v>101</v>
      </c>
      <c r="H151" s="138" t="s">
        <v>101</v>
      </c>
      <c r="I151" s="138" t="s">
        <v>101</v>
      </c>
      <c r="J151" s="138" t="s">
        <v>101</v>
      </c>
      <c r="K151" s="138">
        <v>1963</v>
      </c>
      <c r="L151" s="212" t="s">
        <v>5</v>
      </c>
      <c r="M151" s="138">
        <v>3</v>
      </c>
      <c r="N151" s="138">
        <v>100</v>
      </c>
      <c r="O151" s="138" t="s">
        <v>4</v>
      </c>
      <c r="P151" s="138" t="s">
        <v>4</v>
      </c>
      <c r="Q151" s="138" t="s">
        <v>4</v>
      </c>
      <c r="R151" s="138" t="s">
        <v>143</v>
      </c>
      <c r="S151" s="138">
        <v>5</v>
      </c>
      <c r="T151" s="138" t="s">
        <v>101</v>
      </c>
      <c r="U151" s="138" t="s">
        <v>101</v>
      </c>
      <c r="V151" s="138" t="s">
        <v>101</v>
      </c>
      <c r="W151" s="138">
        <v>2</v>
      </c>
      <c r="X151" s="138" t="s">
        <v>193</v>
      </c>
      <c r="Y151" s="213" t="s">
        <v>101</v>
      </c>
      <c r="Z151" s="143"/>
      <c r="AA151" s="143"/>
      <c r="AB151" s="143"/>
      <c r="AC151" s="143"/>
      <c r="AD151" s="143"/>
    </row>
    <row r="152" spans="1:30" ht="50.1" customHeight="1">
      <c r="A152" s="211" t="s">
        <v>172</v>
      </c>
      <c r="B152" s="138" t="s">
        <v>101</v>
      </c>
      <c r="C152" s="138" t="s">
        <v>4</v>
      </c>
      <c r="D152" s="138" t="s">
        <v>101</v>
      </c>
      <c r="E152" s="138" t="s">
        <v>101</v>
      </c>
      <c r="F152" s="138" t="s">
        <v>101</v>
      </c>
      <c r="G152" s="138" t="s">
        <v>101</v>
      </c>
      <c r="H152" s="138" t="s">
        <v>101</v>
      </c>
      <c r="I152" s="138" t="s">
        <v>101</v>
      </c>
      <c r="J152" s="138" t="s">
        <v>101</v>
      </c>
      <c r="K152" s="138">
        <v>1962</v>
      </c>
      <c r="L152" s="212" t="s">
        <v>5</v>
      </c>
      <c r="M152" s="138">
        <v>3</v>
      </c>
      <c r="N152" s="138">
        <v>65</v>
      </c>
      <c r="O152" s="138" t="s">
        <v>4</v>
      </c>
      <c r="P152" s="138" t="s">
        <v>4</v>
      </c>
      <c r="Q152" s="138" t="s">
        <v>4</v>
      </c>
      <c r="R152" s="138" t="s">
        <v>143</v>
      </c>
      <c r="S152" s="138">
        <v>2</v>
      </c>
      <c r="T152" s="138" t="s">
        <v>101</v>
      </c>
      <c r="U152" s="138" t="s">
        <v>101</v>
      </c>
      <c r="V152" s="138" t="s">
        <v>101</v>
      </c>
      <c r="W152" s="138">
        <v>2</v>
      </c>
      <c r="X152" s="138" t="s">
        <v>193</v>
      </c>
      <c r="Y152" s="213" t="s">
        <v>101</v>
      </c>
      <c r="Z152" s="143"/>
      <c r="AA152" s="143"/>
      <c r="AB152" s="143"/>
      <c r="AC152" s="143"/>
      <c r="AD152" s="143"/>
    </row>
    <row r="153" spans="1:30" ht="50.1" customHeight="1">
      <c r="A153" s="211" t="s">
        <v>177</v>
      </c>
      <c r="B153" s="138" t="s">
        <v>4</v>
      </c>
      <c r="C153" s="138" t="s">
        <v>101</v>
      </c>
      <c r="D153" s="138" t="s">
        <v>101</v>
      </c>
      <c r="E153" s="138" t="s">
        <v>101</v>
      </c>
      <c r="F153" s="138" t="s">
        <v>101</v>
      </c>
      <c r="G153" s="138" t="s">
        <v>101</v>
      </c>
      <c r="H153" s="138" t="s">
        <v>101</v>
      </c>
      <c r="I153" s="138" t="s">
        <v>101</v>
      </c>
      <c r="J153" s="138" t="s">
        <v>101</v>
      </c>
      <c r="K153" s="138" t="s">
        <v>151</v>
      </c>
      <c r="L153" s="212" t="s">
        <v>5</v>
      </c>
      <c r="M153" s="138">
        <v>4</v>
      </c>
      <c r="N153" s="138">
        <v>150</v>
      </c>
      <c r="O153" s="138" t="s">
        <v>4</v>
      </c>
      <c r="P153" s="138" t="s">
        <v>4</v>
      </c>
      <c r="Q153" s="138" t="s">
        <v>4</v>
      </c>
      <c r="R153" s="138" t="s">
        <v>143</v>
      </c>
      <c r="S153" s="138" t="s">
        <v>101</v>
      </c>
      <c r="T153" s="138" t="s">
        <v>101</v>
      </c>
      <c r="U153" s="138" t="s">
        <v>101</v>
      </c>
      <c r="V153" s="138" t="s">
        <v>101</v>
      </c>
      <c r="W153" s="138" t="s">
        <v>101</v>
      </c>
      <c r="X153" s="138" t="s">
        <v>666</v>
      </c>
      <c r="Y153" s="213" t="s">
        <v>101</v>
      </c>
      <c r="Z153" s="143"/>
      <c r="AA153" s="143"/>
      <c r="AB153" s="143"/>
      <c r="AC153" s="143"/>
      <c r="AD153" s="143"/>
    </row>
    <row r="154" spans="1:30" ht="50.1" customHeight="1">
      <c r="A154" s="211" t="s">
        <v>178</v>
      </c>
      <c r="B154" s="138" t="s">
        <v>4</v>
      </c>
      <c r="C154" s="138" t="s">
        <v>101</v>
      </c>
      <c r="D154" s="138" t="s">
        <v>101</v>
      </c>
      <c r="E154" s="138" t="s">
        <v>101</v>
      </c>
      <c r="F154" s="138" t="s">
        <v>101</v>
      </c>
      <c r="G154" s="138" t="s">
        <v>101</v>
      </c>
      <c r="H154" s="138" t="s">
        <v>101</v>
      </c>
      <c r="I154" s="138" t="s">
        <v>101</v>
      </c>
      <c r="J154" s="138" t="s">
        <v>101</v>
      </c>
      <c r="K154" s="138">
        <v>2014</v>
      </c>
      <c r="L154" s="212" t="s">
        <v>5</v>
      </c>
      <c r="M154" s="138">
        <v>4</v>
      </c>
      <c r="N154" s="138">
        <v>140</v>
      </c>
      <c r="O154" s="138" t="s">
        <v>4</v>
      </c>
      <c r="P154" s="138" t="s">
        <v>4</v>
      </c>
      <c r="Q154" s="138" t="s">
        <v>4</v>
      </c>
      <c r="R154" s="138" t="s">
        <v>139</v>
      </c>
      <c r="S154" s="138" t="s">
        <v>101</v>
      </c>
      <c r="T154" s="138">
        <v>3</v>
      </c>
      <c r="U154" s="138" t="s">
        <v>101</v>
      </c>
      <c r="V154" s="138" t="s">
        <v>101</v>
      </c>
      <c r="W154" s="138" t="s">
        <v>101</v>
      </c>
      <c r="X154" s="138" t="s">
        <v>193</v>
      </c>
      <c r="Y154" s="213" t="s">
        <v>101</v>
      </c>
      <c r="Z154" s="143"/>
      <c r="AA154" s="143"/>
      <c r="AB154" s="143"/>
      <c r="AC154" s="143"/>
      <c r="AD154" s="143"/>
    </row>
    <row r="155" spans="1:30" ht="50.1" customHeight="1">
      <c r="A155" s="211" t="s">
        <v>174</v>
      </c>
      <c r="B155" s="138" t="s">
        <v>101</v>
      </c>
      <c r="C155" s="138" t="s">
        <v>4</v>
      </c>
      <c r="D155" s="138" t="s">
        <v>101</v>
      </c>
      <c r="E155" s="138" t="s">
        <v>101</v>
      </c>
      <c r="F155" s="138" t="s">
        <v>101</v>
      </c>
      <c r="G155" s="138" t="s">
        <v>101</v>
      </c>
      <c r="H155" s="138" t="s">
        <v>101</v>
      </c>
      <c r="I155" s="138" t="s">
        <v>101</v>
      </c>
      <c r="J155" s="138" t="s">
        <v>101</v>
      </c>
      <c r="K155" s="138">
        <v>2005</v>
      </c>
      <c r="L155" s="212" t="s">
        <v>136</v>
      </c>
      <c r="M155" s="214">
        <v>42096</v>
      </c>
      <c r="N155" s="138">
        <v>300</v>
      </c>
      <c r="O155" s="138" t="s">
        <v>4</v>
      </c>
      <c r="P155" s="138" t="s">
        <v>4</v>
      </c>
      <c r="Q155" s="138" t="s">
        <v>4</v>
      </c>
      <c r="R155" s="138" t="s">
        <v>143</v>
      </c>
      <c r="S155" s="138">
        <v>5</v>
      </c>
      <c r="T155" s="138" t="s">
        <v>101</v>
      </c>
      <c r="U155" s="138" t="s">
        <v>101</v>
      </c>
      <c r="V155" s="138" t="s">
        <v>101</v>
      </c>
      <c r="W155" s="138">
        <v>3</v>
      </c>
      <c r="X155" s="138" t="s">
        <v>193</v>
      </c>
      <c r="Y155" s="213" t="s">
        <v>101</v>
      </c>
      <c r="Z155" s="143"/>
      <c r="AA155" s="143"/>
      <c r="AB155" s="143"/>
      <c r="AC155" s="143"/>
      <c r="AD155" s="143"/>
    </row>
    <row r="156" spans="1:30" ht="50.1" customHeight="1">
      <c r="A156" s="211" t="s">
        <v>195</v>
      </c>
      <c r="B156" s="138" t="s">
        <v>101</v>
      </c>
      <c r="C156" s="138" t="s">
        <v>101</v>
      </c>
      <c r="D156" s="138" t="s">
        <v>101</v>
      </c>
      <c r="E156" s="138" t="s">
        <v>101</v>
      </c>
      <c r="F156" s="138" t="s">
        <v>101</v>
      </c>
      <c r="G156" s="138" t="s">
        <v>101</v>
      </c>
      <c r="H156" s="138" t="s">
        <v>101</v>
      </c>
      <c r="I156" s="138" t="s">
        <v>101</v>
      </c>
      <c r="J156" s="138" t="s">
        <v>4</v>
      </c>
      <c r="K156" s="138">
        <v>1995</v>
      </c>
      <c r="L156" s="212" t="s">
        <v>5</v>
      </c>
      <c r="M156" s="138">
        <v>4</v>
      </c>
      <c r="N156" s="138">
        <v>220</v>
      </c>
      <c r="O156" s="138" t="s">
        <v>4</v>
      </c>
      <c r="P156" s="138" t="s">
        <v>4</v>
      </c>
      <c r="Q156" s="138" t="s">
        <v>4</v>
      </c>
      <c r="R156" s="138" t="s">
        <v>100</v>
      </c>
      <c r="S156" s="138" t="s">
        <v>101</v>
      </c>
      <c r="T156" s="138" t="s">
        <v>101</v>
      </c>
      <c r="U156" s="138" t="s">
        <v>101</v>
      </c>
      <c r="V156" s="138" t="s">
        <v>101</v>
      </c>
      <c r="W156" s="138" t="s">
        <v>101</v>
      </c>
      <c r="X156" s="138">
        <v>3600</v>
      </c>
      <c r="Y156" s="213" t="s">
        <v>101</v>
      </c>
      <c r="Z156" s="143"/>
      <c r="AA156" s="143"/>
      <c r="AB156" s="143"/>
      <c r="AC156" s="143"/>
      <c r="AD156" s="143"/>
    </row>
    <row r="157" spans="1:30" ht="50.1" customHeight="1">
      <c r="A157" s="211" t="s">
        <v>196</v>
      </c>
      <c r="B157" s="138" t="s">
        <v>101</v>
      </c>
      <c r="C157" s="138" t="s">
        <v>4</v>
      </c>
      <c r="D157" s="138" t="s">
        <v>101</v>
      </c>
      <c r="E157" s="138" t="s">
        <v>101</v>
      </c>
      <c r="F157" s="138" t="s">
        <v>101</v>
      </c>
      <c r="G157" s="138" t="s">
        <v>101</v>
      </c>
      <c r="H157" s="138" t="s">
        <v>101</v>
      </c>
      <c r="I157" s="138" t="s">
        <v>101</v>
      </c>
      <c r="J157" s="138" t="s">
        <v>101</v>
      </c>
      <c r="K157" s="138">
        <v>1970</v>
      </c>
      <c r="L157" s="212" t="s">
        <v>136</v>
      </c>
      <c r="M157" s="138">
        <v>0</v>
      </c>
      <c r="N157" s="138">
        <v>50</v>
      </c>
      <c r="O157" s="138" t="s">
        <v>101</v>
      </c>
      <c r="P157" s="138" t="s">
        <v>4</v>
      </c>
      <c r="Q157" s="138" t="s">
        <v>101</v>
      </c>
      <c r="R157" s="138" t="s">
        <v>143</v>
      </c>
      <c r="S157" s="138">
        <v>1</v>
      </c>
      <c r="T157" s="138" t="s">
        <v>101</v>
      </c>
      <c r="U157" s="138" t="s">
        <v>101</v>
      </c>
      <c r="V157" s="138" t="s">
        <v>101</v>
      </c>
      <c r="W157" s="138" t="s">
        <v>101</v>
      </c>
      <c r="X157" s="138">
        <v>800</v>
      </c>
      <c r="Y157" s="213" t="s">
        <v>101</v>
      </c>
      <c r="Z157" s="143"/>
      <c r="AA157" s="143"/>
      <c r="AB157" s="143"/>
      <c r="AC157" s="143"/>
      <c r="AD157" s="143"/>
    </row>
    <row r="158" spans="1:30" ht="50.1" customHeight="1">
      <c r="A158" s="211" t="s">
        <v>197</v>
      </c>
      <c r="B158" s="138" t="s">
        <v>101</v>
      </c>
      <c r="C158" s="138" t="s">
        <v>4</v>
      </c>
      <c r="D158" s="138" t="s">
        <v>101</v>
      </c>
      <c r="E158" s="138" t="s">
        <v>101</v>
      </c>
      <c r="F158" s="138" t="s">
        <v>101</v>
      </c>
      <c r="G158" s="138" t="s">
        <v>101</v>
      </c>
      <c r="H158" s="138" t="s">
        <v>101</v>
      </c>
      <c r="I158" s="138" t="s">
        <v>101</v>
      </c>
      <c r="J158" s="138" t="s">
        <v>101</v>
      </c>
      <c r="K158" s="138">
        <v>1974</v>
      </c>
      <c r="L158" s="212" t="s">
        <v>136</v>
      </c>
      <c r="M158" s="138">
        <v>1</v>
      </c>
      <c r="N158" s="138">
        <v>35</v>
      </c>
      <c r="O158" s="138" t="s">
        <v>101</v>
      </c>
      <c r="P158" s="138" t="s">
        <v>4</v>
      </c>
      <c r="Q158" s="138" t="s">
        <v>4</v>
      </c>
      <c r="R158" s="138" t="s">
        <v>139</v>
      </c>
      <c r="S158" s="138">
        <v>2</v>
      </c>
      <c r="T158" s="138" t="s">
        <v>101</v>
      </c>
      <c r="U158" s="138" t="s">
        <v>101</v>
      </c>
      <c r="V158" s="138" t="s">
        <v>101</v>
      </c>
      <c r="W158" s="138">
        <v>1</v>
      </c>
      <c r="X158" s="138">
        <v>1700</v>
      </c>
      <c r="Y158" s="213" t="s">
        <v>101</v>
      </c>
      <c r="Z158" s="143"/>
      <c r="AA158" s="143"/>
      <c r="AB158" s="143"/>
      <c r="AC158" s="143"/>
      <c r="AD158" s="143"/>
    </row>
    <row r="159" spans="1:30" ht="50.1" customHeight="1">
      <c r="A159" s="211" t="s">
        <v>198</v>
      </c>
      <c r="B159" s="138" t="s">
        <v>101</v>
      </c>
      <c r="C159" s="138" t="s">
        <v>101</v>
      </c>
      <c r="D159" s="138" t="s">
        <v>101</v>
      </c>
      <c r="E159" s="138" t="s">
        <v>101</v>
      </c>
      <c r="F159" s="138" t="s">
        <v>101</v>
      </c>
      <c r="G159" s="138" t="s">
        <v>101</v>
      </c>
      <c r="H159" s="138" t="s">
        <v>4</v>
      </c>
      <c r="I159" s="138" t="s">
        <v>101</v>
      </c>
      <c r="J159" s="138" t="s">
        <v>101</v>
      </c>
      <c r="K159" s="138">
        <v>1990</v>
      </c>
      <c r="L159" s="212" t="s">
        <v>5</v>
      </c>
      <c r="M159" s="138">
        <v>4</v>
      </c>
      <c r="N159" s="138">
        <v>80</v>
      </c>
      <c r="O159" s="138" t="s">
        <v>4</v>
      </c>
      <c r="P159" s="138" t="s">
        <v>4</v>
      </c>
      <c r="Q159" s="138" t="s">
        <v>4</v>
      </c>
      <c r="R159" s="138" t="s">
        <v>139</v>
      </c>
      <c r="S159" s="138" t="s">
        <v>101</v>
      </c>
      <c r="T159" s="138" t="s">
        <v>101</v>
      </c>
      <c r="U159" s="138" t="s">
        <v>101</v>
      </c>
      <c r="V159" s="138" t="s">
        <v>101</v>
      </c>
      <c r="W159" s="138" t="s">
        <v>101</v>
      </c>
      <c r="X159" s="138">
        <v>480</v>
      </c>
      <c r="Y159" s="213" t="s">
        <v>101</v>
      </c>
      <c r="Z159" s="143"/>
      <c r="AA159" s="143"/>
      <c r="AB159" s="143"/>
      <c r="AC159" s="143"/>
      <c r="AD159" s="143"/>
    </row>
    <row r="160" spans="1:30" ht="50.1" customHeight="1">
      <c r="A160" s="211" t="s">
        <v>194</v>
      </c>
      <c r="B160" s="138" t="s">
        <v>101</v>
      </c>
      <c r="C160" s="138" t="s">
        <v>4</v>
      </c>
      <c r="D160" s="138" t="s">
        <v>101</v>
      </c>
      <c r="E160" s="138" t="s">
        <v>101</v>
      </c>
      <c r="F160" s="138" t="s">
        <v>101</v>
      </c>
      <c r="G160" s="138" t="s">
        <v>101</v>
      </c>
      <c r="H160" s="138" t="s">
        <v>101</v>
      </c>
      <c r="I160" s="138" t="s">
        <v>101</v>
      </c>
      <c r="J160" s="138" t="s">
        <v>101</v>
      </c>
      <c r="K160" s="138">
        <v>1975</v>
      </c>
      <c r="L160" s="212" t="s">
        <v>5</v>
      </c>
      <c r="M160" s="138">
        <v>3</v>
      </c>
      <c r="N160" s="138">
        <v>80</v>
      </c>
      <c r="O160" s="138" t="s">
        <v>101</v>
      </c>
      <c r="P160" s="138" t="s">
        <v>4</v>
      </c>
      <c r="Q160" s="138" t="s">
        <v>4</v>
      </c>
      <c r="R160" s="138" t="s">
        <v>143</v>
      </c>
      <c r="S160" s="138">
        <v>1</v>
      </c>
      <c r="T160" s="138" t="s">
        <v>101</v>
      </c>
      <c r="U160" s="138" t="s">
        <v>101</v>
      </c>
      <c r="V160" s="138" t="s">
        <v>101</v>
      </c>
      <c r="W160" s="138">
        <v>9</v>
      </c>
      <c r="X160" s="138">
        <v>2500</v>
      </c>
      <c r="Y160" s="213" t="s">
        <v>101</v>
      </c>
      <c r="Z160" s="143"/>
      <c r="AA160" s="143"/>
      <c r="AB160" s="143"/>
      <c r="AC160" s="143"/>
      <c r="AD160" s="143"/>
    </row>
    <row r="161" spans="1:30" ht="50.1" customHeight="1">
      <c r="A161" s="211" t="s">
        <v>199</v>
      </c>
      <c r="B161" s="138" t="s">
        <v>4</v>
      </c>
      <c r="C161" s="138" t="s">
        <v>101</v>
      </c>
      <c r="D161" s="138" t="s">
        <v>101</v>
      </c>
      <c r="E161" s="138" t="s">
        <v>101</v>
      </c>
      <c r="F161" s="138" t="s">
        <v>101</v>
      </c>
      <c r="G161" s="138" t="s">
        <v>101</v>
      </c>
      <c r="H161" s="138" t="s">
        <v>101</v>
      </c>
      <c r="I161" s="138" t="s">
        <v>101</v>
      </c>
      <c r="J161" s="138" t="s">
        <v>101</v>
      </c>
      <c r="K161" s="138">
        <v>1975</v>
      </c>
      <c r="L161" s="212" t="s">
        <v>5</v>
      </c>
      <c r="M161" s="138">
        <v>6</v>
      </c>
      <c r="N161" s="138">
        <v>160</v>
      </c>
      <c r="O161" s="138" t="s">
        <v>4</v>
      </c>
      <c r="P161" s="138" t="s">
        <v>4</v>
      </c>
      <c r="Q161" s="138" t="s">
        <v>4</v>
      </c>
      <c r="R161" s="138" t="s">
        <v>139</v>
      </c>
      <c r="S161" s="138">
        <v>5</v>
      </c>
      <c r="T161" s="138" t="s">
        <v>101</v>
      </c>
      <c r="U161" s="138" t="s">
        <v>101</v>
      </c>
      <c r="V161" s="138" t="s">
        <v>101</v>
      </c>
      <c r="W161" s="138" t="s">
        <v>101</v>
      </c>
      <c r="X161" s="138">
        <v>3500</v>
      </c>
      <c r="Y161" s="213" t="s">
        <v>101</v>
      </c>
      <c r="Z161" s="143"/>
      <c r="AA161" s="143"/>
      <c r="AB161" s="143"/>
      <c r="AC161" s="143"/>
      <c r="AD161" s="143"/>
    </row>
    <row r="162" spans="1:30" ht="50.1" customHeight="1">
      <c r="A162" s="211" t="s">
        <v>200</v>
      </c>
      <c r="B162" s="138" t="s">
        <v>4</v>
      </c>
      <c r="C162" s="138" t="s">
        <v>101</v>
      </c>
      <c r="D162" s="138" t="s">
        <v>101</v>
      </c>
      <c r="E162" s="138" t="s">
        <v>101</v>
      </c>
      <c r="F162" s="138" t="s">
        <v>101</v>
      </c>
      <c r="G162" s="138" t="s">
        <v>101</v>
      </c>
      <c r="H162" s="138" t="s">
        <v>101</v>
      </c>
      <c r="I162" s="138" t="s">
        <v>101</v>
      </c>
      <c r="J162" s="138" t="s">
        <v>101</v>
      </c>
      <c r="K162" s="138">
        <v>1980</v>
      </c>
      <c r="L162" s="212" t="s">
        <v>5</v>
      </c>
      <c r="M162" s="138" t="s">
        <v>101</v>
      </c>
      <c r="N162" s="138"/>
      <c r="O162" s="138" t="s">
        <v>4</v>
      </c>
      <c r="P162" s="138" t="s">
        <v>101</v>
      </c>
      <c r="Q162" s="138" t="s">
        <v>101</v>
      </c>
      <c r="R162" s="138" t="s">
        <v>144</v>
      </c>
      <c r="S162" s="138" t="s">
        <v>101</v>
      </c>
      <c r="T162" s="138" t="s">
        <v>101</v>
      </c>
      <c r="U162" s="138" t="s">
        <v>101</v>
      </c>
      <c r="V162" s="138" t="s">
        <v>101</v>
      </c>
      <c r="W162" s="138" t="s">
        <v>101</v>
      </c>
      <c r="X162" s="138" t="s">
        <v>102</v>
      </c>
      <c r="Y162" s="213" t="s">
        <v>101</v>
      </c>
      <c r="Z162" s="143"/>
      <c r="AA162" s="143"/>
      <c r="AB162" s="143"/>
      <c r="AC162" s="143"/>
      <c r="AD162" s="143"/>
    </row>
    <row r="163" spans="1:30" ht="50.1" customHeight="1">
      <c r="A163" s="211" t="s">
        <v>81</v>
      </c>
      <c r="B163" s="138" t="s">
        <v>101</v>
      </c>
      <c r="C163" s="138" t="s">
        <v>4</v>
      </c>
      <c r="D163" s="138" t="s">
        <v>101</v>
      </c>
      <c r="E163" s="138" t="s">
        <v>101</v>
      </c>
      <c r="F163" s="138" t="s">
        <v>101</v>
      </c>
      <c r="G163" s="138" t="s">
        <v>101</v>
      </c>
      <c r="H163" s="138" t="s">
        <v>101</v>
      </c>
      <c r="I163" s="138" t="s">
        <v>101</v>
      </c>
      <c r="J163" s="138" t="s">
        <v>101</v>
      </c>
      <c r="K163" s="138">
        <v>1990</v>
      </c>
      <c r="L163" s="212" t="s">
        <v>5</v>
      </c>
      <c r="M163" s="138">
        <v>5</v>
      </c>
      <c r="N163" s="138">
        <v>160</v>
      </c>
      <c r="O163" s="138" t="s">
        <v>4</v>
      </c>
      <c r="P163" s="138" t="s">
        <v>4</v>
      </c>
      <c r="Q163" s="138" t="s">
        <v>101</v>
      </c>
      <c r="R163" s="138" t="s">
        <v>143</v>
      </c>
      <c r="S163" s="138">
        <v>6</v>
      </c>
      <c r="T163" s="138" t="s">
        <v>101</v>
      </c>
      <c r="U163" s="138" t="s">
        <v>101</v>
      </c>
      <c r="V163" s="138" t="s">
        <v>101</v>
      </c>
      <c r="W163" s="138">
        <v>1</v>
      </c>
      <c r="X163" s="138" t="s">
        <v>193</v>
      </c>
      <c r="Y163" s="213" t="s">
        <v>4</v>
      </c>
      <c r="Z163" s="143"/>
      <c r="AA163" s="143"/>
      <c r="AB163" s="143"/>
      <c r="AC163" s="143"/>
      <c r="AD163" s="143"/>
    </row>
    <row r="164" spans="1:30" ht="50.1" customHeight="1">
      <c r="A164" s="211" t="s">
        <v>82</v>
      </c>
      <c r="B164" s="138" t="s">
        <v>101</v>
      </c>
      <c r="C164" s="138" t="s">
        <v>4</v>
      </c>
      <c r="D164" s="138" t="s">
        <v>101</v>
      </c>
      <c r="E164" s="138" t="s">
        <v>101</v>
      </c>
      <c r="F164" s="138" t="s">
        <v>101</v>
      </c>
      <c r="G164" s="138" t="s">
        <v>101</v>
      </c>
      <c r="H164" s="138" t="s">
        <v>101</v>
      </c>
      <c r="I164" s="138" t="s">
        <v>101</v>
      </c>
      <c r="J164" s="138" t="s">
        <v>101</v>
      </c>
      <c r="K164" s="138">
        <v>1990</v>
      </c>
      <c r="L164" s="212" t="s">
        <v>5</v>
      </c>
      <c r="M164" s="138">
        <v>6</v>
      </c>
      <c r="N164" s="138">
        <v>180</v>
      </c>
      <c r="O164" s="138" t="s">
        <v>4</v>
      </c>
      <c r="P164" s="138" t="s">
        <v>4</v>
      </c>
      <c r="Q164" s="138" t="s">
        <v>4</v>
      </c>
      <c r="R164" s="138" t="s">
        <v>143</v>
      </c>
      <c r="S164" s="138">
        <v>6</v>
      </c>
      <c r="T164" s="138" t="s">
        <v>101</v>
      </c>
      <c r="U164" s="138" t="s">
        <v>101</v>
      </c>
      <c r="V164" s="138" t="s">
        <v>101</v>
      </c>
      <c r="W164" s="138">
        <v>3</v>
      </c>
      <c r="X164" s="138" t="s">
        <v>193</v>
      </c>
      <c r="Y164" s="213" t="s">
        <v>4</v>
      </c>
      <c r="Z164" s="143"/>
      <c r="AA164" s="143"/>
      <c r="AB164" s="143"/>
      <c r="AC164" s="143"/>
      <c r="AD164" s="143"/>
    </row>
    <row r="165" spans="1:30" ht="50.1" customHeight="1">
      <c r="A165" s="211" t="s">
        <v>19</v>
      </c>
      <c r="B165" s="138" t="s">
        <v>101</v>
      </c>
      <c r="C165" s="138" t="s">
        <v>4</v>
      </c>
      <c r="D165" s="138" t="s">
        <v>101</v>
      </c>
      <c r="E165" s="138" t="s">
        <v>101</v>
      </c>
      <c r="F165" s="138" t="s">
        <v>101</v>
      </c>
      <c r="G165" s="138" t="s">
        <v>101</v>
      </c>
      <c r="H165" s="138" t="s">
        <v>101</v>
      </c>
      <c r="I165" s="138" t="s">
        <v>101</v>
      </c>
      <c r="J165" s="138" t="s">
        <v>101</v>
      </c>
      <c r="K165" s="138">
        <v>1969</v>
      </c>
      <c r="L165" s="212" t="s">
        <v>5</v>
      </c>
      <c r="M165" s="138">
        <v>3</v>
      </c>
      <c r="N165" s="138">
        <v>110</v>
      </c>
      <c r="O165" s="138" t="s">
        <v>4</v>
      </c>
      <c r="P165" s="138" t="s">
        <v>4</v>
      </c>
      <c r="Q165" s="138" t="s">
        <v>4</v>
      </c>
      <c r="R165" s="138" t="s">
        <v>561</v>
      </c>
      <c r="S165" s="138">
        <v>5</v>
      </c>
      <c r="T165" s="138" t="s">
        <v>101</v>
      </c>
      <c r="U165" s="138" t="s">
        <v>101</v>
      </c>
      <c r="V165" s="138" t="s">
        <v>101</v>
      </c>
      <c r="W165" s="138">
        <v>3</v>
      </c>
      <c r="X165" s="138">
        <v>4100</v>
      </c>
      <c r="Y165" s="213" t="s">
        <v>4</v>
      </c>
      <c r="Z165" s="143"/>
      <c r="AA165" s="143"/>
      <c r="AB165" s="143"/>
      <c r="AC165" s="143"/>
      <c r="AD165" s="143"/>
    </row>
    <row r="166" spans="1:30" ht="50.1" customHeight="1">
      <c r="A166" s="211" t="s">
        <v>24</v>
      </c>
      <c r="B166" s="138" t="s">
        <v>101</v>
      </c>
      <c r="C166" s="138" t="s">
        <v>4</v>
      </c>
      <c r="D166" s="138" t="s">
        <v>101</v>
      </c>
      <c r="E166" s="138" t="s">
        <v>101</v>
      </c>
      <c r="F166" s="138" t="s">
        <v>101</v>
      </c>
      <c r="G166" s="138" t="s">
        <v>101</v>
      </c>
      <c r="H166" s="138" t="s">
        <v>101</v>
      </c>
      <c r="I166" s="138" t="s">
        <v>101</v>
      </c>
      <c r="J166" s="138" t="s">
        <v>101</v>
      </c>
      <c r="K166" s="138">
        <v>1995</v>
      </c>
      <c r="L166" s="212" t="s">
        <v>136</v>
      </c>
      <c r="M166" s="138">
        <v>4</v>
      </c>
      <c r="N166" s="138">
        <v>150</v>
      </c>
      <c r="O166" s="138" t="s">
        <v>4</v>
      </c>
      <c r="P166" s="138" t="s">
        <v>4</v>
      </c>
      <c r="Q166" s="138" t="s">
        <v>4</v>
      </c>
      <c r="R166" s="138" t="s">
        <v>143</v>
      </c>
      <c r="S166" s="138">
        <v>2</v>
      </c>
      <c r="T166" s="138" t="s">
        <v>101</v>
      </c>
      <c r="U166" s="138" t="s">
        <v>101</v>
      </c>
      <c r="V166" s="138" t="s">
        <v>101</v>
      </c>
      <c r="W166" s="138">
        <v>3</v>
      </c>
      <c r="X166" s="138" t="s">
        <v>193</v>
      </c>
      <c r="Y166" s="213" t="s">
        <v>4</v>
      </c>
      <c r="Z166" s="143"/>
      <c r="AA166" s="143"/>
      <c r="AB166" s="143"/>
      <c r="AC166" s="143"/>
      <c r="AD166" s="143"/>
    </row>
    <row r="167" spans="1:30" ht="50.1" customHeight="1">
      <c r="A167" s="211" t="s">
        <v>21</v>
      </c>
      <c r="B167" s="138" t="s">
        <v>101</v>
      </c>
      <c r="C167" s="138" t="s">
        <v>101</v>
      </c>
      <c r="D167" s="138" t="s">
        <v>101</v>
      </c>
      <c r="E167" s="138" t="s">
        <v>101</v>
      </c>
      <c r="F167" s="138" t="s">
        <v>101</v>
      </c>
      <c r="G167" s="138" t="s">
        <v>101</v>
      </c>
      <c r="H167" s="138" t="s">
        <v>101</v>
      </c>
      <c r="I167" s="138" t="s">
        <v>4</v>
      </c>
      <c r="J167" s="138" t="s">
        <v>101</v>
      </c>
      <c r="K167" s="138">
        <v>1990</v>
      </c>
      <c r="L167" s="212" t="s">
        <v>136</v>
      </c>
      <c r="M167" s="138">
        <v>4</v>
      </c>
      <c r="N167" s="138">
        <v>150</v>
      </c>
      <c r="O167" s="138" t="s">
        <v>4</v>
      </c>
      <c r="P167" s="138" t="s">
        <v>4</v>
      </c>
      <c r="Q167" s="138" t="s">
        <v>4</v>
      </c>
      <c r="R167" s="138" t="s">
        <v>143</v>
      </c>
      <c r="S167" s="138" t="s">
        <v>101</v>
      </c>
      <c r="T167" s="138" t="s">
        <v>101</v>
      </c>
      <c r="U167" s="138" t="s">
        <v>101</v>
      </c>
      <c r="V167" s="138">
        <v>3000</v>
      </c>
      <c r="W167" s="138" t="s">
        <v>101</v>
      </c>
      <c r="X167" s="138">
        <v>10000</v>
      </c>
      <c r="Y167" s="213" t="s">
        <v>101</v>
      </c>
      <c r="Z167" s="143"/>
      <c r="AA167" s="143"/>
      <c r="AB167" s="143"/>
      <c r="AC167" s="143"/>
      <c r="AD167" s="143"/>
    </row>
    <row r="168" spans="1:30" ht="50.1" customHeight="1">
      <c r="A168" s="211" t="s">
        <v>20</v>
      </c>
      <c r="B168" s="138" t="s">
        <v>4</v>
      </c>
      <c r="C168" s="138" t="s">
        <v>101</v>
      </c>
      <c r="D168" s="138" t="s">
        <v>101</v>
      </c>
      <c r="E168" s="138" t="s">
        <v>101</v>
      </c>
      <c r="F168" s="138" t="s">
        <v>101</v>
      </c>
      <c r="G168" s="138" t="s">
        <v>101</v>
      </c>
      <c r="H168" s="138" t="s">
        <v>101</v>
      </c>
      <c r="I168" s="138" t="s">
        <v>101</v>
      </c>
      <c r="J168" s="138" t="s">
        <v>4</v>
      </c>
      <c r="K168" s="138">
        <v>1960</v>
      </c>
      <c r="L168" s="212" t="s">
        <v>5</v>
      </c>
      <c r="M168" s="138">
        <v>5</v>
      </c>
      <c r="N168" s="138">
        <v>100</v>
      </c>
      <c r="O168" s="138" t="s">
        <v>4</v>
      </c>
      <c r="P168" s="138" t="s">
        <v>4</v>
      </c>
      <c r="Q168" s="138" t="s">
        <v>101</v>
      </c>
      <c r="R168" s="138" t="s">
        <v>139</v>
      </c>
      <c r="S168" s="138" t="s">
        <v>101</v>
      </c>
      <c r="T168" s="138">
        <v>2</v>
      </c>
      <c r="U168" s="138" t="s">
        <v>101</v>
      </c>
      <c r="V168" s="138" t="s">
        <v>101</v>
      </c>
      <c r="W168" s="138" t="s">
        <v>101</v>
      </c>
      <c r="X168" s="138" t="s">
        <v>193</v>
      </c>
      <c r="Y168" s="213" t="s">
        <v>4</v>
      </c>
      <c r="Z168" s="143"/>
      <c r="AA168" s="143"/>
      <c r="AB168" s="143"/>
      <c r="AC168" s="143"/>
      <c r="AD168" s="143"/>
    </row>
    <row r="169" spans="1:30" ht="50.1" customHeight="1">
      <c r="A169" s="211" t="s">
        <v>17</v>
      </c>
      <c r="B169" s="138" t="s">
        <v>101</v>
      </c>
      <c r="C169" s="138" t="s">
        <v>4</v>
      </c>
      <c r="D169" s="138" t="s">
        <v>101</v>
      </c>
      <c r="E169" s="138" t="s">
        <v>101</v>
      </c>
      <c r="F169" s="138" t="s">
        <v>101</v>
      </c>
      <c r="G169" s="138" t="s">
        <v>101</v>
      </c>
      <c r="H169" s="138" t="s">
        <v>101</v>
      </c>
      <c r="I169" s="138" t="s">
        <v>101</v>
      </c>
      <c r="J169" s="138" t="s">
        <v>101</v>
      </c>
      <c r="K169" s="138" t="s">
        <v>18</v>
      </c>
      <c r="L169" s="212" t="s">
        <v>136</v>
      </c>
      <c r="M169" s="138">
        <v>4</v>
      </c>
      <c r="N169" s="138">
        <v>70</v>
      </c>
      <c r="O169" s="138" t="s">
        <v>4</v>
      </c>
      <c r="P169" s="138" t="s">
        <v>4</v>
      </c>
      <c r="Q169" s="138" t="s">
        <v>4</v>
      </c>
      <c r="R169" s="138" t="s">
        <v>143</v>
      </c>
      <c r="S169" s="138">
        <v>4</v>
      </c>
      <c r="T169" s="138" t="s">
        <v>101</v>
      </c>
      <c r="U169" s="138" t="s">
        <v>101</v>
      </c>
      <c r="V169" s="138" t="s">
        <v>101</v>
      </c>
      <c r="W169" s="138">
        <v>3</v>
      </c>
      <c r="X169" s="138" t="s">
        <v>193</v>
      </c>
      <c r="Y169" s="213" t="s">
        <v>4</v>
      </c>
      <c r="Z169" s="143"/>
      <c r="AA169" s="143"/>
      <c r="AB169" s="143"/>
      <c r="AC169" s="143"/>
      <c r="AD169" s="143"/>
    </row>
    <row r="170" spans="1:30" ht="50.1" customHeight="1">
      <c r="A170" s="211" t="s">
        <v>13</v>
      </c>
      <c r="B170" s="138" t="s">
        <v>4</v>
      </c>
      <c r="C170" s="138" t="s">
        <v>101</v>
      </c>
      <c r="D170" s="138" t="s">
        <v>101</v>
      </c>
      <c r="E170" s="138" t="s">
        <v>101</v>
      </c>
      <c r="F170" s="138" t="s">
        <v>101</v>
      </c>
      <c r="G170" s="138" t="s">
        <v>101</v>
      </c>
      <c r="H170" s="138" t="s">
        <v>101</v>
      </c>
      <c r="I170" s="138" t="s">
        <v>101</v>
      </c>
      <c r="J170" s="138" t="s">
        <v>4</v>
      </c>
      <c r="K170" s="138">
        <v>2010</v>
      </c>
      <c r="L170" s="212" t="s">
        <v>14</v>
      </c>
      <c r="M170" s="138">
        <v>3</v>
      </c>
      <c r="N170" s="138">
        <v>120</v>
      </c>
      <c r="O170" s="138" t="s">
        <v>4</v>
      </c>
      <c r="P170" s="138" t="s">
        <v>4</v>
      </c>
      <c r="Q170" s="138" t="s">
        <v>4</v>
      </c>
      <c r="R170" s="138" t="s">
        <v>143</v>
      </c>
      <c r="S170" s="138" t="s">
        <v>101</v>
      </c>
      <c r="T170" s="138">
        <v>2.5</v>
      </c>
      <c r="U170" s="138" t="s">
        <v>101</v>
      </c>
      <c r="V170" s="138" t="s">
        <v>101</v>
      </c>
      <c r="W170" s="138" t="s">
        <v>101</v>
      </c>
      <c r="X170" s="138" t="s">
        <v>193</v>
      </c>
      <c r="Y170" s="213" t="s">
        <v>4</v>
      </c>
      <c r="Z170" s="143"/>
      <c r="AA170" s="143"/>
      <c r="AB170" s="143"/>
      <c r="AC170" s="143"/>
      <c r="AD170" s="143"/>
    </row>
    <row r="171" spans="1:30" ht="50.1" customHeight="1">
      <c r="A171" s="211" t="s">
        <v>12</v>
      </c>
      <c r="B171" s="138" t="s">
        <v>101</v>
      </c>
      <c r="C171" s="138" t="s">
        <v>4</v>
      </c>
      <c r="D171" s="138" t="s">
        <v>101</v>
      </c>
      <c r="E171" s="138" t="s">
        <v>101</v>
      </c>
      <c r="F171" s="138" t="s">
        <v>101</v>
      </c>
      <c r="G171" s="138" t="s">
        <v>101</v>
      </c>
      <c r="H171" s="138" t="s">
        <v>101</v>
      </c>
      <c r="I171" s="138" t="s">
        <v>101</v>
      </c>
      <c r="J171" s="138" t="s">
        <v>101</v>
      </c>
      <c r="K171" s="138">
        <v>1960</v>
      </c>
      <c r="L171" s="212" t="s">
        <v>7</v>
      </c>
      <c r="M171" s="138">
        <v>3</v>
      </c>
      <c r="N171" s="138">
        <v>80</v>
      </c>
      <c r="O171" s="138" t="s">
        <v>4</v>
      </c>
      <c r="P171" s="138" t="s">
        <v>4</v>
      </c>
      <c r="Q171" s="138" t="s">
        <v>4</v>
      </c>
      <c r="R171" s="138" t="s">
        <v>143</v>
      </c>
      <c r="S171" s="138">
        <v>3</v>
      </c>
      <c r="T171" s="138" t="s">
        <v>101</v>
      </c>
      <c r="U171" s="138" t="s">
        <v>101</v>
      </c>
      <c r="V171" s="138" t="s">
        <v>101</v>
      </c>
      <c r="W171" s="138">
        <v>2</v>
      </c>
      <c r="X171" s="138">
        <v>2500</v>
      </c>
      <c r="Y171" s="213" t="s">
        <v>101</v>
      </c>
      <c r="Z171" s="143"/>
      <c r="AA171" s="143"/>
      <c r="AB171" s="143"/>
      <c r="AC171" s="143"/>
      <c r="AD171" s="143"/>
    </row>
    <row r="172" spans="1:30" ht="50.1" customHeight="1">
      <c r="A172" s="211" t="s">
        <v>59</v>
      </c>
      <c r="B172" s="138" t="s">
        <v>101</v>
      </c>
      <c r="C172" s="138" t="s">
        <v>4</v>
      </c>
      <c r="D172" s="138" t="s">
        <v>101</v>
      </c>
      <c r="E172" s="138" t="s">
        <v>101</v>
      </c>
      <c r="F172" s="138" t="s">
        <v>101</v>
      </c>
      <c r="G172" s="138" t="s">
        <v>101</v>
      </c>
      <c r="H172" s="138" t="s">
        <v>101</v>
      </c>
      <c r="I172" s="138" t="s">
        <v>101</v>
      </c>
      <c r="J172" s="138" t="s">
        <v>101</v>
      </c>
      <c r="K172" s="138">
        <v>1990</v>
      </c>
      <c r="L172" s="212" t="s">
        <v>5</v>
      </c>
      <c r="M172" s="138">
        <v>4</v>
      </c>
      <c r="N172" s="138">
        <v>100</v>
      </c>
      <c r="O172" s="138" t="s">
        <v>101</v>
      </c>
      <c r="P172" s="138" t="s">
        <v>4</v>
      </c>
      <c r="Q172" s="138" t="s">
        <v>4</v>
      </c>
      <c r="R172" s="138" t="s">
        <v>140</v>
      </c>
      <c r="S172" s="138">
        <v>3.5</v>
      </c>
      <c r="T172" s="138" t="s">
        <v>101</v>
      </c>
      <c r="U172" s="138" t="s">
        <v>101</v>
      </c>
      <c r="V172" s="138" t="s">
        <v>101</v>
      </c>
      <c r="W172" s="138">
        <v>2</v>
      </c>
      <c r="X172" s="138" t="s">
        <v>193</v>
      </c>
      <c r="Y172" s="213" t="s">
        <v>4</v>
      </c>
      <c r="Z172" s="143"/>
      <c r="AA172" s="143"/>
      <c r="AB172" s="143"/>
      <c r="AC172" s="143"/>
      <c r="AD172" s="143"/>
    </row>
    <row r="173" spans="1:30" ht="50.1" customHeight="1">
      <c r="A173" s="211" t="s">
        <v>60</v>
      </c>
      <c r="B173" s="138" t="s">
        <v>101</v>
      </c>
      <c r="C173" s="138" t="s">
        <v>101</v>
      </c>
      <c r="D173" s="138" t="s">
        <v>101</v>
      </c>
      <c r="E173" s="138" t="s">
        <v>101</v>
      </c>
      <c r="F173" s="138" t="s">
        <v>4</v>
      </c>
      <c r="G173" s="138" t="s">
        <v>101</v>
      </c>
      <c r="H173" s="138" t="s">
        <v>101</v>
      </c>
      <c r="I173" s="138" t="s">
        <v>101</v>
      </c>
      <c r="J173" s="138" t="s">
        <v>101</v>
      </c>
      <c r="K173" s="138">
        <v>2010</v>
      </c>
      <c r="L173" s="212" t="s">
        <v>5</v>
      </c>
      <c r="M173" s="138">
        <v>4</v>
      </c>
      <c r="N173" s="138">
        <v>150</v>
      </c>
      <c r="O173" s="138" t="s">
        <v>4</v>
      </c>
      <c r="P173" s="138" t="s">
        <v>4</v>
      </c>
      <c r="Q173" s="138" t="s">
        <v>4</v>
      </c>
      <c r="R173" s="138" t="s">
        <v>139</v>
      </c>
      <c r="S173" s="138" t="s">
        <v>101</v>
      </c>
      <c r="T173" s="138" t="s">
        <v>101</v>
      </c>
      <c r="U173" s="138">
        <v>2000</v>
      </c>
      <c r="V173" s="138" t="s">
        <v>101</v>
      </c>
      <c r="W173" s="138" t="s">
        <v>101</v>
      </c>
      <c r="X173" s="138" t="s">
        <v>193</v>
      </c>
      <c r="Y173" s="213" t="s">
        <v>4</v>
      </c>
      <c r="Z173" s="143"/>
      <c r="AA173" s="143"/>
      <c r="AB173" s="143"/>
      <c r="AC173" s="143"/>
      <c r="AD173" s="143"/>
    </row>
    <row r="174" spans="1:30" ht="50.1" customHeight="1">
      <c r="A174" s="211" t="s">
        <v>61</v>
      </c>
      <c r="B174" s="138" t="s">
        <v>101</v>
      </c>
      <c r="C174" s="138" t="s">
        <v>4</v>
      </c>
      <c r="D174" s="138" t="s">
        <v>101</v>
      </c>
      <c r="E174" s="138" t="s">
        <v>101</v>
      </c>
      <c r="F174" s="138" t="s">
        <v>101</v>
      </c>
      <c r="G174" s="138" t="s">
        <v>101</v>
      </c>
      <c r="H174" s="138" t="s">
        <v>101</v>
      </c>
      <c r="I174" s="138" t="s">
        <v>101</v>
      </c>
      <c r="J174" s="138" t="s">
        <v>101</v>
      </c>
      <c r="K174" s="138">
        <v>1970</v>
      </c>
      <c r="L174" s="212" t="s">
        <v>5</v>
      </c>
      <c r="M174" s="138">
        <v>3</v>
      </c>
      <c r="N174" s="138">
        <v>100</v>
      </c>
      <c r="O174" s="138" t="s">
        <v>4</v>
      </c>
      <c r="P174" s="138" t="s">
        <v>4</v>
      </c>
      <c r="Q174" s="138" t="s">
        <v>4</v>
      </c>
      <c r="R174" s="138" t="s">
        <v>140</v>
      </c>
      <c r="S174" s="138">
        <v>4</v>
      </c>
      <c r="T174" s="138" t="s">
        <v>101</v>
      </c>
      <c r="U174" s="138" t="s">
        <v>101</v>
      </c>
      <c r="V174" s="138" t="s">
        <v>101</v>
      </c>
      <c r="W174" s="138">
        <v>3</v>
      </c>
      <c r="X174" s="138" t="s">
        <v>193</v>
      </c>
      <c r="Y174" s="213" t="s">
        <v>101</v>
      </c>
      <c r="Z174" s="143"/>
      <c r="AA174" s="143"/>
      <c r="AB174" s="143"/>
      <c r="AC174" s="143"/>
      <c r="AD174" s="143"/>
    </row>
    <row r="175" spans="1:30" ht="50.1" customHeight="1">
      <c r="A175" s="211" t="s">
        <v>51</v>
      </c>
      <c r="B175" s="138" t="s">
        <v>101</v>
      </c>
      <c r="C175" s="138" t="s">
        <v>101</v>
      </c>
      <c r="D175" s="138" t="s">
        <v>101</v>
      </c>
      <c r="E175" s="138" t="s">
        <v>101</v>
      </c>
      <c r="F175" s="138" t="s">
        <v>4</v>
      </c>
      <c r="G175" s="138" t="s">
        <v>101</v>
      </c>
      <c r="H175" s="138" t="s">
        <v>101</v>
      </c>
      <c r="I175" s="138" t="s">
        <v>101</v>
      </c>
      <c r="J175" s="138" t="s">
        <v>101</v>
      </c>
      <c r="K175" s="138">
        <v>1950</v>
      </c>
      <c r="L175" s="212" t="s">
        <v>5</v>
      </c>
      <c r="M175" s="138">
        <v>2</v>
      </c>
      <c r="N175" s="138">
        <v>100</v>
      </c>
      <c r="O175" s="138" t="s">
        <v>4</v>
      </c>
      <c r="P175" s="138" t="s">
        <v>4</v>
      </c>
      <c r="Q175" s="138" t="s">
        <v>101</v>
      </c>
      <c r="R175" s="138" t="s">
        <v>139</v>
      </c>
      <c r="S175" s="138" t="s">
        <v>101</v>
      </c>
      <c r="T175" s="138" t="s">
        <v>101</v>
      </c>
      <c r="U175" s="138" t="s">
        <v>101</v>
      </c>
      <c r="V175" s="138" t="s">
        <v>101</v>
      </c>
      <c r="W175" s="138" t="s">
        <v>101</v>
      </c>
      <c r="X175" s="138" t="s">
        <v>666</v>
      </c>
      <c r="Y175" s="213" t="s">
        <v>101</v>
      </c>
      <c r="Z175" s="143"/>
      <c r="AA175" s="143"/>
      <c r="AB175" s="143"/>
      <c r="AC175" s="143"/>
      <c r="AD175" s="143"/>
    </row>
    <row r="176" spans="1:30" ht="50.1" customHeight="1">
      <c r="A176" s="211" t="s">
        <v>52</v>
      </c>
      <c r="B176" s="138" t="s">
        <v>101</v>
      </c>
      <c r="C176" s="138" t="s">
        <v>4</v>
      </c>
      <c r="D176" s="138" t="s">
        <v>101</v>
      </c>
      <c r="E176" s="138" t="s">
        <v>101</v>
      </c>
      <c r="F176" s="138" t="s">
        <v>101</v>
      </c>
      <c r="G176" s="138" t="s">
        <v>101</v>
      </c>
      <c r="H176" s="138" t="s">
        <v>101</v>
      </c>
      <c r="I176" s="138" t="s">
        <v>101</v>
      </c>
      <c r="J176" s="138" t="s">
        <v>101</v>
      </c>
      <c r="K176" s="138">
        <v>1950</v>
      </c>
      <c r="L176" s="212" t="s">
        <v>5</v>
      </c>
      <c r="M176" s="138">
        <v>2</v>
      </c>
      <c r="N176" s="138">
        <v>40</v>
      </c>
      <c r="O176" s="138" t="s">
        <v>101</v>
      </c>
      <c r="P176" s="138" t="s">
        <v>101</v>
      </c>
      <c r="Q176" s="138" t="s">
        <v>101</v>
      </c>
      <c r="R176" s="138" t="s">
        <v>139</v>
      </c>
      <c r="S176" s="138">
        <v>2</v>
      </c>
      <c r="T176" s="138" t="s">
        <v>101</v>
      </c>
      <c r="U176" s="138" t="s">
        <v>101</v>
      </c>
      <c r="V176" s="138" t="s">
        <v>101</v>
      </c>
      <c r="W176" s="138">
        <v>1</v>
      </c>
      <c r="X176" s="138" t="s">
        <v>193</v>
      </c>
      <c r="Y176" s="213" t="s">
        <v>101</v>
      </c>
      <c r="Z176" s="143"/>
      <c r="AA176" s="143"/>
      <c r="AB176" s="143"/>
      <c r="AC176" s="143"/>
      <c r="AD176" s="143"/>
    </row>
    <row r="177" spans="1:30" ht="50.1" customHeight="1">
      <c r="A177" s="211" t="s">
        <v>53</v>
      </c>
      <c r="B177" s="138" t="s">
        <v>101</v>
      </c>
      <c r="C177" s="138" t="s">
        <v>4</v>
      </c>
      <c r="D177" s="138" t="s">
        <v>101</v>
      </c>
      <c r="E177" s="138" t="s">
        <v>101</v>
      </c>
      <c r="F177" s="138" t="s">
        <v>101</v>
      </c>
      <c r="G177" s="138" t="s">
        <v>101</v>
      </c>
      <c r="H177" s="138" t="s">
        <v>101</v>
      </c>
      <c r="I177" s="138" t="s">
        <v>101</v>
      </c>
      <c r="J177" s="138" t="s">
        <v>101</v>
      </c>
      <c r="K177" s="138">
        <v>1950</v>
      </c>
      <c r="L177" s="212" t="s">
        <v>5</v>
      </c>
      <c r="M177" s="138">
        <v>4</v>
      </c>
      <c r="N177" s="138">
        <v>120</v>
      </c>
      <c r="O177" s="138" t="s">
        <v>4</v>
      </c>
      <c r="P177" s="138" t="s">
        <v>4</v>
      </c>
      <c r="Q177" s="138" t="s">
        <v>4</v>
      </c>
      <c r="R177" s="138" t="s">
        <v>143</v>
      </c>
      <c r="S177" s="138">
        <v>6</v>
      </c>
      <c r="T177" s="138" t="s">
        <v>101</v>
      </c>
      <c r="U177" s="138" t="s">
        <v>101</v>
      </c>
      <c r="V177" s="138" t="s">
        <v>101</v>
      </c>
      <c r="W177" s="138">
        <v>1</v>
      </c>
      <c r="X177" s="138" t="s">
        <v>193</v>
      </c>
      <c r="Y177" s="213" t="s">
        <v>4</v>
      </c>
      <c r="Z177" s="143"/>
      <c r="AA177" s="143"/>
      <c r="AB177" s="143"/>
      <c r="AC177" s="143"/>
      <c r="AD177" s="143"/>
    </row>
    <row r="178" spans="1:30" ht="50.1" customHeight="1">
      <c r="A178" s="211" t="s">
        <v>54</v>
      </c>
      <c r="B178" s="138" t="s">
        <v>101</v>
      </c>
      <c r="C178" s="138" t="s">
        <v>4</v>
      </c>
      <c r="D178" s="138" t="s">
        <v>101</v>
      </c>
      <c r="E178" s="138" t="s">
        <v>101</v>
      </c>
      <c r="F178" s="138" t="s">
        <v>101</v>
      </c>
      <c r="G178" s="138" t="s">
        <v>101</v>
      </c>
      <c r="H178" s="138" t="s">
        <v>101</v>
      </c>
      <c r="I178" s="138" t="s">
        <v>101</v>
      </c>
      <c r="J178" s="138" t="s">
        <v>101</v>
      </c>
      <c r="K178" s="138">
        <v>1966</v>
      </c>
      <c r="L178" s="212" t="s">
        <v>5</v>
      </c>
      <c r="M178" s="138">
        <v>3</v>
      </c>
      <c r="N178" s="138">
        <v>100</v>
      </c>
      <c r="O178" s="138" t="s">
        <v>4</v>
      </c>
      <c r="P178" s="138" t="s">
        <v>4</v>
      </c>
      <c r="Q178" s="138" t="s">
        <v>4</v>
      </c>
      <c r="R178" s="138" t="s">
        <v>143</v>
      </c>
      <c r="S178" s="138">
        <v>4</v>
      </c>
      <c r="T178" s="138" t="s">
        <v>101</v>
      </c>
      <c r="U178" s="138" t="s">
        <v>101</v>
      </c>
      <c r="V178" s="138" t="s">
        <v>101</v>
      </c>
      <c r="W178" s="138">
        <v>1</v>
      </c>
      <c r="X178" s="138" t="s">
        <v>193</v>
      </c>
      <c r="Y178" s="213" t="s">
        <v>101</v>
      </c>
      <c r="Z178" s="143"/>
      <c r="AA178" s="143"/>
      <c r="AB178" s="143"/>
      <c r="AC178" s="143"/>
      <c r="AD178" s="143"/>
    </row>
    <row r="179" spans="1:30" ht="50.1" customHeight="1">
      <c r="A179" s="211" t="s">
        <v>55</v>
      </c>
      <c r="B179" s="138" t="s">
        <v>101</v>
      </c>
      <c r="C179" s="138" t="s">
        <v>4</v>
      </c>
      <c r="D179" s="138" t="s">
        <v>101</v>
      </c>
      <c r="E179" s="138" t="s">
        <v>101</v>
      </c>
      <c r="F179" s="138" t="s">
        <v>101</v>
      </c>
      <c r="G179" s="138" t="s">
        <v>101</v>
      </c>
      <c r="H179" s="138" t="s">
        <v>101</v>
      </c>
      <c r="I179" s="138" t="s">
        <v>101</v>
      </c>
      <c r="J179" s="138" t="s">
        <v>101</v>
      </c>
      <c r="K179" s="138">
        <v>1950</v>
      </c>
      <c r="L179" s="212" t="s">
        <v>5</v>
      </c>
      <c r="M179" s="138">
        <v>4</v>
      </c>
      <c r="N179" s="138">
        <v>150</v>
      </c>
      <c r="O179" s="138" t="s">
        <v>4</v>
      </c>
      <c r="P179" s="138" t="s">
        <v>4</v>
      </c>
      <c r="Q179" s="138" t="s">
        <v>4</v>
      </c>
      <c r="R179" s="138" t="s">
        <v>143</v>
      </c>
      <c r="S179" s="138">
        <v>6</v>
      </c>
      <c r="T179" s="138" t="s">
        <v>101</v>
      </c>
      <c r="U179" s="138" t="s">
        <v>101</v>
      </c>
      <c r="V179" s="138" t="s">
        <v>101</v>
      </c>
      <c r="W179" s="138">
        <v>2</v>
      </c>
      <c r="X179" s="138" t="s">
        <v>193</v>
      </c>
      <c r="Y179" s="213" t="s">
        <v>4</v>
      </c>
      <c r="Z179" s="143"/>
      <c r="AA179" s="143"/>
      <c r="AB179" s="143"/>
      <c r="AC179" s="143"/>
      <c r="AD179" s="143"/>
    </row>
    <row r="180" spans="1:30" ht="50.1" customHeight="1">
      <c r="A180" s="211" t="s">
        <v>56</v>
      </c>
      <c r="B180" s="138" t="s">
        <v>101</v>
      </c>
      <c r="C180" s="138" t="s">
        <v>4</v>
      </c>
      <c r="D180" s="138" t="s">
        <v>101</v>
      </c>
      <c r="E180" s="138" t="s">
        <v>101</v>
      </c>
      <c r="F180" s="138" t="s">
        <v>101</v>
      </c>
      <c r="G180" s="138" t="s">
        <v>101</v>
      </c>
      <c r="H180" s="138" t="s">
        <v>101</v>
      </c>
      <c r="I180" s="138" t="s">
        <v>101</v>
      </c>
      <c r="J180" s="138" t="s">
        <v>101</v>
      </c>
      <c r="K180" s="138">
        <v>1933</v>
      </c>
      <c r="L180" s="212" t="s">
        <v>136</v>
      </c>
      <c r="M180" s="138">
        <v>2</v>
      </c>
      <c r="N180" s="138">
        <v>80</v>
      </c>
      <c r="O180" s="138" t="s">
        <v>4</v>
      </c>
      <c r="P180" s="138" t="s">
        <v>4</v>
      </c>
      <c r="Q180" s="138" t="s">
        <v>4</v>
      </c>
      <c r="R180" s="138" t="s">
        <v>139</v>
      </c>
      <c r="S180" s="138">
        <v>3.5</v>
      </c>
      <c r="T180" s="138" t="s">
        <v>101</v>
      </c>
      <c r="U180" s="138" t="s">
        <v>101</v>
      </c>
      <c r="V180" s="138" t="s">
        <v>101</v>
      </c>
      <c r="W180" s="138">
        <v>2</v>
      </c>
      <c r="X180" s="138" t="s">
        <v>193</v>
      </c>
      <c r="Y180" s="213" t="s">
        <v>4</v>
      </c>
      <c r="Z180" s="143"/>
      <c r="AA180" s="143"/>
      <c r="AB180" s="143"/>
      <c r="AC180" s="143"/>
      <c r="AD180" s="143"/>
    </row>
    <row r="181" spans="1:30" ht="50.1" customHeight="1">
      <c r="A181" s="211" t="s">
        <v>57</v>
      </c>
      <c r="B181" s="138" t="s">
        <v>101</v>
      </c>
      <c r="C181" s="138" t="s">
        <v>4</v>
      </c>
      <c r="D181" s="138" t="s">
        <v>101</v>
      </c>
      <c r="E181" s="138" t="s">
        <v>101</v>
      </c>
      <c r="F181" s="138" t="s">
        <v>101</v>
      </c>
      <c r="G181" s="138" t="s">
        <v>101</v>
      </c>
      <c r="H181" s="138" t="s">
        <v>101</v>
      </c>
      <c r="I181" s="138" t="s">
        <v>101</v>
      </c>
      <c r="J181" s="138" t="s">
        <v>101</v>
      </c>
      <c r="K181" s="138">
        <v>1950</v>
      </c>
      <c r="L181" s="212" t="s">
        <v>136</v>
      </c>
      <c r="M181" s="138">
        <v>3</v>
      </c>
      <c r="N181" s="138">
        <v>100</v>
      </c>
      <c r="O181" s="138" t="s">
        <v>4</v>
      </c>
      <c r="P181" s="138" t="s">
        <v>4</v>
      </c>
      <c r="Q181" s="138" t="s">
        <v>4</v>
      </c>
      <c r="R181" s="138" t="s">
        <v>143</v>
      </c>
      <c r="S181" s="138">
        <v>4</v>
      </c>
      <c r="T181" s="138" t="s">
        <v>101</v>
      </c>
      <c r="U181" s="138" t="s">
        <v>101</v>
      </c>
      <c r="V181" s="138" t="s">
        <v>101</v>
      </c>
      <c r="W181" s="138">
        <v>1</v>
      </c>
      <c r="X181" s="138" t="s">
        <v>193</v>
      </c>
      <c r="Y181" s="213" t="s">
        <v>101</v>
      </c>
      <c r="Z181" s="143"/>
      <c r="AA181" s="143"/>
      <c r="AB181" s="143"/>
      <c r="AC181" s="143"/>
      <c r="AD181" s="143"/>
    </row>
    <row r="182" spans="1:30" ht="50.1" customHeight="1">
      <c r="A182" s="211" t="s">
        <v>58</v>
      </c>
      <c r="B182" s="138" t="s">
        <v>101</v>
      </c>
      <c r="C182" s="138" t="s">
        <v>4</v>
      </c>
      <c r="D182" s="138" t="s">
        <v>101</v>
      </c>
      <c r="E182" s="138" t="s">
        <v>101</v>
      </c>
      <c r="F182" s="138" t="s">
        <v>101</v>
      </c>
      <c r="G182" s="138" t="s">
        <v>101</v>
      </c>
      <c r="H182" s="138" t="s">
        <v>101</v>
      </c>
      <c r="I182" s="138" t="s">
        <v>101</v>
      </c>
      <c r="J182" s="138" t="s">
        <v>101</v>
      </c>
      <c r="K182" s="138">
        <v>1950</v>
      </c>
      <c r="L182" s="212" t="s">
        <v>5</v>
      </c>
      <c r="M182" s="138">
        <v>4</v>
      </c>
      <c r="N182" s="138">
        <v>150</v>
      </c>
      <c r="O182" s="138" t="s">
        <v>4</v>
      </c>
      <c r="P182" s="138" t="s">
        <v>4</v>
      </c>
      <c r="Q182" s="138" t="s">
        <v>4</v>
      </c>
      <c r="R182" s="138" t="s">
        <v>143</v>
      </c>
      <c r="S182" s="138">
        <v>6</v>
      </c>
      <c r="T182" s="138" t="s">
        <v>101</v>
      </c>
      <c r="U182" s="138" t="s">
        <v>101</v>
      </c>
      <c r="V182" s="138" t="s">
        <v>101</v>
      </c>
      <c r="W182" s="138">
        <v>3</v>
      </c>
      <c r="X182" s="138" t="s">
        <v>193</v>
      </c>
      <c r="Y182" s="213" t="s">
        <v>4</v>
      </c>
      <c r="Z182" s="143"/>
      <c r="AA182" s="143"/>
      <c r="AB182" s="143"/>
      <c r="AC182" s="143"/>
      <c r="AD182" s="143"/>
    </row>
    <row r="183" spans="1:30" ht="50.1" customHeight="1">
      <c r="A183" s="211" t="s">
        <v>147</v>
      </c>
      <c r="B183" s="138" t="s">
        <v>101</v>
      </c>
      <c r="C183" s="138" t="s">
        <v>4</v>
      </c>
      <c r="D183" s="138" t="s">
        <v>101</v>
      </c>
      <c r="E183" s="138" t="s">
        <v>101</v>
      </c>
      <c r="F183" s="138" t="s">
        <v>101</v>
      </c>
      <c r="G183" s="138" t="s">
        <v>101</v>
      </c>
      <c r="H183" s="138" t="s">
        <v>101</v>
      </c>
      <c r="I183" s="138" t="s">
        <v>101</v>
      </c>
      <c r="J183" s="138" t="s">
        <v>101</v>
      </c>
      <c r="K183" s="138">
        <v>1990</v>
      </c>
      <c r="L183" s="212" t="s">
        <v>136</v>
      </c>
      <c r="M183" s="138">
        <v>2</v>
      </c>
      <c r="N183" s="138">
        <v>120</v>
      </c>
      <c r="O183" s="138" t="s">
        <v>4</v>
      </c>
      <c r="P183" s="138" t="s">
        <v>4</v>
      </c>
      <c r="Q183" s="138" t="s">
        <v>4</v>
      </c>
      <c r="R183" s="138" t="s">
        <v>143</v>
      </c>
      <c r="S183" s="138">
        <v>3</v>
      </c>
      <c r="T183" s="138" t="s">
        <v>101</v>
      </c>
      <c r="U183" s="138" t="s">
        <v>101</v>
      </c>
      <c r="V183" s="138" t="s">
        <v>101</v>
      </c>
      <c r="W183" s="138">
        <v>3</v>
      </c>
      <c r="X183" s="138" t="s">
        <v>193</v>
      </c>
      <c r="Y183" s="213" t="s">
        <v>101</v>
      </c>
      <c r="Z183" s="143"/>
      <c r="AA183" s="143"/>
      <c r="AB183" s="143"/>
      <c r="AC183" s="143"/>
      <c r="AD183" s="143"/>
    </row>
    <row r="184" spans="1:30" ht="50.1" customHeight="1">
      <c r="A184" s="211" t="s">
        <v>48</v>
      </c>
      <c r="B184" s="138" t="s">
        <v>101</v>
      </c>
      <c r="C184" s="138" t="s">
        <v>4</v>
      </c>
      <c r="D184" s="138" t="s">
        <v>101</v>
      </c>
      <c r="E184" s="138" t="s">
        <v>101</v>
      </c>
      <c r="F184" s="138" t="s">
        <v>101</v>
      </c>
      <c r="G184" s="138" t="s">
        <v>101</v>
      </c>
      <c r="H184" s="138" t="s">
        <v>101</v>
      </c>
      <c r="I184" s="138" t="s">
        <v>101</v>
      </c>
      <c r="J184" s="138" t="s">
        <v>101</v>
      </c>
      <c r="K184" s="138">
        <v>1950</v>
      </c>
      <c r="L184" s="212" t="s">
        <v>7</v>
      </c>
      <c r="M184" s="138">
        <v>4</v>
      </c>
      <c r="N184" s="138">
        <v>100</v>
      </c>
      <c r="O184" s="138" t="s">
        <v>101</v>
      </c>
      <c r="P184" s="138" t="s">
        <v>101</v>
      </c>
      <c r="Q184" s="138" t="s">
        <v>101</v>
      </c>
      <c r="R184" s="138" t="s">
        <v>139</v>
      </c>
      <c r="S184" s="138">
        <v>4</v>
      </c>
      <c r="T184" s="138" t="s">
        <v>101</v>
      </c>
      <c r="U184" s="138" t="s">
        <v>101</v>
      </c>
      <c r="V184" s="138" t="s">
        <v>101</v>
      </c>
      <c r="W184" s="138">
        <v>4</v>
      </c>
      <c r="X184" s="138" t="s">
        <v>193</v>
      </c>
      <c r="Y184" s="213" t="s">
        <v>101</v>
      </c>
      <c r="Z184" s="143"/>
      <c r="AA184" s="143"/>
      <c r="AB184" s="143"/>
      <c r="AC184" s="143"/>
      <c r="AD184" s="143"/>
    </row>
    <row r="185" spans="1:30" ht="50.1" customHeight="1">
      <c r="A185" s="211" t="s">
        <v>49</v>
      </c>
      <c r="B185" s="138" t="s">
        <v>101</v>
      </c>
      <c r="C185" s="138" t="s">
        <v>101</v>
      </c>
      <c r="D185" s="138" t="s">
        <v>101</v>
      </c>
      <c r="E185" s="138" t="s">
        <v>101</v>
      </c>
      <c r="F185" s="138" t="s">
        <v>4</v>
      </c>
      <c r="G185" s="138" t="s">
        <v>101</v>
      </c>
      <c r="H185" s="138" t="s">
        <v>101</v>
      </c>
      <c r="I185" s="138" t="s">
        <v>101</v>
      </c>
      <c r="J185" s="138" t="s">
        <v>101</v>
      </c>
      <c r="K185" s="138">
        <v>1950</v>
      </c>
      <c r="L185" s="212" t="s">
        <v>5</v>
      </c>
      <c r="M185" s="138">
        <v>1</v>
      </c>
      <c r="N185" s="138">
        <v>50</v>
      </c>
      <c r="O185" s="138" t="s">
        <v>4</v>
      </c>
      <c r="P185" s="138" t="s">
        <v>4</v>
      </c>
      <c r="Q185" s="138" t="s">
        <v>101</v>
      </c>
      <c r="R185" s="138" t="s">
        <v>139</v>
      </c>
      <c r="S185" s="138" t="s">
        <v>101</v>
      </c>
      <c r="T185" s="138" t="s">
        <v>101</v>
      </c>
      <c r="U185" s="138">
        <v>500</v>
      </c>
      <c r="V185" s="138" t="s">
        <v>101</v>
      </c>
      <c r="W185" s="138" t="s">
        <v>101</v>
      </c>
      <c r="X185" s="138" t="s">
        <v>193</v>
      </c>
      <c r="Y185" s="213" t="s">
        <v>101</v>
      </c>
      <c r="Z185" s="143"/>
      <c r="AA185" s="143"/>
      <c r="AB185" s="143"/>
      <c r="AC185" s="143"/>
      <c r="AD185" s="143"/>
    </row>
    <row r="186" spans="1:30" ht="50.1" customHeight="1">
      <c r="A186" s="211" t="s">
        <v>50</v>
      </c>
      <c r="B186" s="138" t="s">
        <v>101</v>
      </c>
      <c r="C186" s="138" t="s">
        <v>4</v>
      </c>
      <c r="D186" s="138" t="s">
        <v>101</v>
      </c>
      <c r="E186" s="138" t="s">
        <v>101</v>
      </c>
      <c r="F186" s="138" t="s">
        <v>101</v>
      </c>
      <c r="G186" s="138" t="s">
        <v>101</v>
      </c>
      <c r="H186" s="138" t="s">
        <v>101</v>
      </c>
      <c r="I186" s="138" t="s">
        <v>101</v>
      </c>
      <c r="J186" s="138" t="s">
        <v>101</v>
      </c>
      <c r="K186" s="138">
        <v>1990</v>
      </c>
      <c r="L186" s="212" t="s">
        <v>5</v>
      </c>
      <c r="M186" s="138">
        <v>5</v>
      </c>
      <c r="N186" s="138">
        <v>200</v>
      </c>
      <c r="O186" s="138" t="s">
        <v>4</v>
      </c>
      <c r="P186" s="138" t="s">
        <v>4</v>
      </c>
      <c r="Q186" s="138" t="s">
        <v>4</v>
      </c>
      <c r="R186" s="138" t="s">
        <v>143</v>
      </c>
      <c r="S186" s="138">
        <v>10</v>
      </c>
      <c r="T186" s="138" t="s">
        <v>101</v>
      </c>
      <c r="U186" s="138" t="s">
        <v>101</v>
      </c>
      <c r="V186" s="138" t="s">
        <v>101</v>
      </c>
      <c r="W186" s="138">
        <v>5</v>
      </c>
      <c r="X186" s="138" t="s">
        <v>193</v>
      </c>
      <c r="Y186" s="213" t="s">
        <v>4</v>
      </c>
      <c r="Z186" s="143"/>
      <c r="AA186" s="143"/>
      <c r="AB186" s="143"/>
      <c r="AC186" s="143"/>
      <c r="AD186" s="143"/>
    </row>
    <row r="187" spans="1:30" ht="50.1" customHeight="1">
      <c r="A187" s="211" t="s">
        <v>65</v>
      </c>
      <c r="B187" s="138" t="s">
        <v>101</v>
      </c>
      <c r="C187" s="138" t="s">
        <v>4</v>
      </c>
      <c r="D187" s="138" t="s">
        <v>101</v>
      </c>
      <c r="E187" s="138" t="s">
        <v>101</v>
      </c>
      <c r="F187" s="138" t="s">
        <v>101</v>
      </c>
      <c r="G187" s="138" t="s">
        <v>101</v>
      </c>
      <c r="H187" s="138" t="s">
        <v>101</v>
      </c>
      <c r="I187" s="138" t="s">
        <v>101</v>
      </c>
      <c r="J187" s="138" t="s">
        <v>101</v>
      </c>
      <c r="K187" s="138">
        <v>1990</v>
      </c>
      <c r="L187" s="212" t="s">
        <v>5</v>
      </c>
      <c r="M187" s="138">
        <v>4</v>
      </c>
      <c r="N187" s="138">
        <v>150</v>
      </c>
      <c r="O187" s="138" t="s">
        <v>101</v>
      </c>
      <c r="P187" s="138" t="s">
        <v>4</v>
      </c>
      <c r="Q187" s="138" t="s">
        <v>101</v>
      </c>
      <c r="R187" s="138" t="s">
        <v>140</v>
      </c>
      <c r="S187" s="138">
        <v>5</v>
      </c>
      <c r="T187" s="138" t="s">
        <v>101</v>
      </c>
      <c r="U187" s="138" t="s">
        <v>101</v>
      </c>
      <c r="V187" s="138" t="s">
        <v>101</v>
      </c>
      <c r="W187" s="138">
        <v>3</v>
      </c>
      <c r="X187" s="138" t="s">
        <v>193</v>
      </c>
      <c r="Y187" s="213" t="s">
        <v>101</v>
      </c>
      <c r="Z187" s="143"/>
      <c r="AA187" s="143"/>
      <c r="AB187" s="143"/>
      <c r="AC187" s="143"/>
      <c r="AD187" s="143"/>
    </row>
    <row r="188" spans="1:30" ht="50.1" customHeight="1">
      <c r="A188" s="211" t="s">
        <v>76</v>
      </c>
      <c r="B188" s="138" t="s">
        <v>101</v>
      </c>
      <c r="C188" s="138" t="s">
        <v>4</v>
      </c>
      <c r="D188" s="138" t="s">
        <v>101</v>
      </c>
      <c r="E188" s="138" t="s">
        <v>101</v>
      </c>
      <c r="F188" s="138" t="s">
        <v>101</v>
      </c>
      <c r="G188" s="138" t="s">
        <v>101</v>
      </c>
      <c r="H188" s="138" t="s">
        <v>101</v>
      </c>
      <c r="I188" s="138" t="s">
        <v>101</v>
      </c>
      <c r="J188" s="138" t="s">
        <v>101</v>
      </c>
      <c r="K188" s="138">
        <v>1950</v>
      </c>
      <c r="L188" s="212" t="s">
        <v>5</v>
      </c>
      <c r="M188" s="138">
        <v>6</v>
      </c>
      <c r="N188" s="138">
        <v>120</v>
      </c>
      <c r="O188" s="138" t="s">
        <v>4</v>
      </c>
      <c r="P188" s="138" t="s">
        <v>4</v>
      </c>
      <c r="Q188" s="138" t="s">
        <v>101</v>
      </c>
      <c r="R188" s="138" t="s">
        <v>143</v>
      </c>
      <c r="S188" s="138">
        <v>5</v>
      </c>
      <c r="T188" s="138" t="s">
        <v>101</v>
      </c>
      <c r="U188" s="138" t="s">
        <v>101</v>
      </c>
      <c r="V188" s="138" t="s">
        <v>101</v>
      </c>
      <c r="W188" s="138">
        <v>3</v>
      </c>
      <c r="X188" s="138" t="s">
        <v>193</v>
      </c>
      <c r="Y188" s="213" t="s">
        <v>101</v>
      </c>
      <c r="Z188" s="143"/>
      <c r="AA188" s="143"/>
      <c r="AB188" s="143"/>
      <c r="AC188" s="143"/>
      <c r="AD188" s="143"/>
    </row>
    <row r="189" spans="1:30" ht="50.1" customHeight="1">
      <c r="A189" s="211" t="s">
        <v>39</v>
      </c>
      <c r="B189" s="138" t="s">
        <v>101</v>
      </c>
      <c r="C189" s="138" t="s">
        <v>4</v>
      </c>
      <c r="D189" s="138" t="s">
        <v>101</v>
      </c>
      <c r="E189" s="138" t="s">
        <v>101</v>
      </c>
      <c r="F189" s="138" t="s">
        <v>101</v>
      </c>
      <c r="G189" s="138" t="s">
        <v>101</v>
      </c>
      <c r="H189" s="138" t="s">
        <v>101</v>
      </c>
      <c r="I189" s="138" t="s">
        <v>101</v>
      </c>
      <c r="J189" s="138" t="s">
        <v>101</v>
      </c>
      <c r="K189" s="138">
        <v>1990</v>
      </c>
      <c r="L189" s="212" t="s">
        <v>136</v>
      </c>
      <c r="M189" s="138">
        <v>3</v>
      </c>
      <c r="N189" s="138">
        <v>100</v>
      </c>
      <c r="O189" s="138" t="s">
        <v>4</v>
      </c>
      <c r="P189" s="138" t="s">
        <v>4</v>
      </c>
      <c r="Q189" s="138" t="s">
        <v>101</v>
      </c>
      <c r="R189" s="138" t="s">
        <v>139</v>
      </c>
      <c r="S189" s="138">
        <v>2</v>
      </c>
      <c r="T189" s="138" t="s">
        <v>101</v>
      </c>
      <c r="U189" s="138" t="s">
        <v>101</v>
      </c>
      <c r="V189" s="138" t="s">
        <v>101</v>
      </c>
      <c r="W189" s="138">
        <v>1</v>
      </c>
      <c r="X189" s="138" t="s">
        <v>193</v>
      </c>
      <c r="Y189" s="213" t="s">
        <v>101</v>
      </c>
      <c r="Z189" s="143"/>
      <c r="AA189" s="143"/>
      <c r="AB189" s="143"/>
      <c r="AC189" s="143"/>
      <c r="AD189" s="143"/>
    </row>
    <row r="190" spans="1:30" ht="50.1" customHeight="1" thickBot="1">
      <c r="A190" s="215" t="s">
        <v>40</v>
      </c>
      <c r="B190" s="216" t="s">
        <v>101</v>
      </c>
      <c r="C190" s="217" t="s">
        <v>4</v>
      </c>
      <c r="D190" s="217" t="s">
        <v>101</v>
      </c>
      <c r="E190" s="217" t="s">
        <v>101</v>
      </c>
      <c r="F190" s="217" t="s">
        <v>101</v>
      </c>
      <c r="G190" s="217" t="s">
        <v>101</v>
      </c>
      <c r="H190" s="217" t="s">
        <v>101</v>
      </c>
      <c r="I190" s="217" t="s">
        <v>101</v>
      </c>
      <c r="J190" s="217" t="s">
        <v>101</v>
      </c>
      <c r="K190" s="217">
        <v>1990</v>
      </c>
      <c r="L190" s="218" t="s">
        <v>5</v>
      </c>
      <c r="M190" s="217">
        <v>4</v>
      </c>
      <c r="N190" s="216">
        <v>100</v>
      </c>
      <c r="O190" s="216" t="s">
        <v>4</v>
      </c>
      <c r="P190" s="216" t="s">
        <v>4</v>
      </c>
      <c r="Q190" s="216" t="s">
        <v>4</v>
      </c>
      <c r="R190" s="217" t="s">
        <v>139</v>
      </c>
      <c r="S190" s="216">
        <v>2</v>
      </c>
      <c r="T190" s="216" t="s">
        <v>101</v>
      </c>
      <c r="U190" s="216" t="s">
        <v>101</v>
      </c>
      <c r="V190" s="216" t="s">
        <v>101</v>
      </c>
      <c r="W190" s="216">
        <v>1</v>
      </c>
      <c r="X190" s="217" t="s">
        <v>193</v>
      </c>
      <c r="Y190" s="219" t="s">
        <v>101</v>
      </c>
      <c r="Z190" s="143"/>
      <c r="AA190" s="143"/>
      <c r="AB190" s="143"/>
      <c r="AC190" s="143"/>
      <c r="AD190" s="143"/>
    </row>
    <row r="191" spans="1:30" ht="50.1" customHeight="1" thickTop="1" thickBot="1">
      <c r="A191" s="220">
        <v>188</v>
      </c>
      <c r="B191" s="221" t="s">
        <v>444</v>
      </c>
      <c r="C191" s="135"/>
      <c r="D191" s="135"/>
      <c r="E191" s="135"/>
      <c r="F191" s="135"/>
      <c r="G191" s="135"/>
      <c r="H191" s="135"/>
      <c r="I191" s="135"/>
      <c r="J191" s="135"/>
      <c r="K191" s="135"/>
      <c r="L191" s="222"/>
      <c r="M191" s="135"/>
      <c r="N191" s="223" t="s">
        <v>445</v>
      </c>
      <c r="O191" s="224">
        <f>COUNTIF(O3:O190,"+")</f>
        <v>156</v>
      </c>
      <c r="P191" s="224">
        <f t="shared" ref="P191:Q191" si="0">COUNTIF(P3:P190,"+")</f>
        <v>174</v>
      </c>
      <c r="Q191" s="225">
        <f t="shared" si="0"/>
        <v>143</v>
      </c>
      <c r="R191" s="143"/>
      <c r="S191" s="226">
        <f>COUNT(S3:S190)</f>
        <v>140</v>
      </c>
      <c r="T191" s="224">
        <f t="shared" ref="T191:W191" si="1">COUNT(T3:T190)</f>
        <v>13</v>
      </c>
      <c r="U191" s="224">
        <f t="shared" si="1"/>
        <v>8</v>
      </c>
      <c r="V191" s="224">
        <f t="shared" si="1"/>
        <v>3</v>
      </c>
      <c r="W191" s="225">
        <f t="shared" si="1"/>
        <v>116</v>
      </c>
      <c r="X191" s="135"/>
      <c r="Y191" s="226">
        <f>COUNTIF(Y3:Y190,"+")</f>
        <v>59</v>
      </c>
      <c r="Z191" s="227" t="s">
        <v>562</v>
      </c>
      <c r="AA191" s="143"/>
      <c r="AB191" s="143"/>
      <c r="AC191" s="143"/>
      <c r="AD191" s="143"/>
    </row>
    <row r="192" spans="1:30" ht="50.1" customHeight="1" thickTop="1" thickBot="1">
      <c r="A192" s="143"/>
      <c r="B192" s="143"/>
      <c r="C192" s="143"/>
      <c r="D192" s="143"/>
      <c r="E192" s="143"/>
      <c r="F192" s="143"/>
      <c r="G192" s="228" t="s">
        <v>564</v>
      </c>
      <c r="H192" s="229">
        <f>AVERAGE(N3:N190)</f>
        <v>124.69623655913979</v>
      </c>
      <c r="I192" s="143"/>
      <c r="J192" s="143"/>
      <c r="K192" s="143"/>
      <c r="L192" s="230"/>
      <c r="M192" s="143"/>
      <c r="N192" s="231" t="s">
        <v>430</v>
      </c>
      <c r="O192" s="232">
        <f>O191/$A$191*100</f>
        <v>82.978723404255319</v>
      </c>
      <c r="P192" s="232">
        <f>P191/$A$191*100</f>
        <v>92.553191489361694</v>
      </c>
      <c r="Q192" s="233">
        <f>Q191/$A$191*100</f>
        <v>76.063829787234042</v>
      </c>
      <c r="R192" s="143"/>
      <c r="S192" s="293" t="s">
        <v>451</v>
      </c>
      <c r="T192" s="294"/>
      <c r="U192" s="294"/>
      <c r="V192" s="294"/>
      <c r="W192" s="295"/>
      <c r="X192" s="143"/>
      <c r="Y192" s="234">
        <f>59/188*100</f>
        <v>31.382978723404253</v>
      </c>
      <c r="Z192" s="235" t="s">
        <v>440</v>
      </c>
      <c r="AA192" s="143"/>
      <c r="AB192" s="143"/>
      <c r="AC192" s="143"/>
      <c r="AD192" s="143"/>
    </row>
    <row r="193" spans="1:30" ht="50.1" customHeight="1" thickTop="1" thickBot="1">
      <c r="A193" s="143"/>
      <c r="B193" s="143"/>
      <c r="C193" s="143"/>
      <c r="D193" s="143"/>
      <c r="E193" s="143"/>
      <c r="F193" s="143"/>
      <c r="G193" s="143"/>
      <c r="H193" s="143"/>
      <c r="I193" s="143"/>
      <c r="J193" s="143"/>
      <c r="K193" s="143"/>
      <c r="L193" s="230"/>
      <c r="M193" s="143"/>
      <c r="N193" s="143"/>
      <c r="O193" s="236" t="s">
        <v>318</v>
      </c>
      <c r="P193" s="237" t="s">
        <v>319</v>
      </c>
      <c r="Q193" s="238" t="s">
        <v>320</v>
      </c>
      <c r="R193" s="143"/>
      <c r="S193" s="143"/>
      <c r="T193" s="143"/>
      <c r="U193" s="143"/>
      <c r="V193" s="143"/>
      <c r="W193" s="143"/>
      <c r="X193" s="143"/>
      <c r="Y193" s="143"/>
      <c r="Z193" s="143"/>
      <c r="AA193" s="143"/>
      <c r="AB193" s="143"/>
      <c r="AC193" s="143"/>
      <c r="AD193" s="143"/>
    </row>
    <row r="194" spans="1:30" ht="50.1" customHeight="1" thickTop="1" thickBot="1">
      <c r="A194" s="143"/>
      <c r="B194" s="143"/>
      <c r="C194" s="143"/>
      <c r="D194" s="143"/>
      <c r="E194" s="143"/>
      <c r="F194" s="143"/>
      <c r="G194" s="143"/>
      <c r="H194" s="143"/>
      <c r="I194" s="143"/>
      <c r="J194" s="143"/>
      <c r="K194" s="143"/>
      <c r="L194" s="230"/>
      <c r="M194" s="143"/>
      <c r="N194" s="143"/>
      <c r="O194" s="143"/>
      <c r="P194" s="143"/>
      <c r="Q194" s="143"/>
      <c r="R194" s="143"/>
      <c r="S194" s="143"/>
      <c r="T194" s="143"/>
      <c r="U194" s="143"/>
      <c r="V194" s="143"/>
      <c r="W194" s="143"/>
      <c r="X194" s="143"/>
      <c r="Y194" s="143"/>
      <c r="Z194" s="143"/>
      <c r="AA194" s="143"/>
      <c r="AB194" s="143"/>
      <c r="AC194" s="143"/>
      <c r="AD194" s="143"/>
    </row>
    <row r="195" spans="1:30" ht="50.1" customHeight="1" thickTop="1" thickBot="1">
      <c r="A195" s="283" t="s">
        <v>0</v>
      </c>
      <c r="B195" s="285" t="s">
        <v>218</v>
      </c>
      <c r="C195" s="285"/>
      <c r="D195" s="285"/>
      <c r="E195" s="285"/>
      <c r="F195" s="285"/>
      <c r="G195" s="285"/>
      <c r="H195" s="285"/>
      <c r="I195" s="285"/>
      <c r="J195" s="285"/>
      <c r="K195" s="286"/>
      <c r="L195" s="230"/>
      <c r="M195" s="143"/>
      <c r="N195" s="239" t="s">
        <v>305</v>
      </c>
      <c r="O195" s="240" t="s">
        <v>306</v>
      </c>
      <c r="P195" s="143"/>
      <c r="Q195" s="143"/>
      <c r="R195" s="296"/>
      <c r="S195" s="287" t="s">
        <v>446</v>
      </c>
      <c r="T195" s="287"/>
      <c r="U195" s="287"/>
      <c r="V195" s="287"/>
      <c r="W195" s="287"/>
      <c r="X195" s="287"/>
      <c r="Y195" s="287" t="s">
        <v>447</v>
      </c>
      <c r="Z195" s="287" t="s">
        <v>448</v>
      </c>
      <c r="AA195" s="289" t="s">
        <v>449</v>
      </c>
      <c r="AB195" s="143"/>
      <c r="AC195" s="143"/>
      <c r="AD195" s="143"/>
    </row>
    <row r="196" spans="1:30" ht="50.1" customHeight="1" thickBot="1">
      <c r="A196" s="284"/>
      <c r="B196" s="205" t="s">
        <v>442</v>
      </c>
      <c r="C196" s="205" t="s">
        <v>518</v>
      </c>
      <c r="D196" s="205" t="s">
        <v>519</v>
      </c>
      <c r="E196" s="205" t="s">
        <v>563</v>
      </c>
      <c r="F196" s="205" t="s">
        <v>1</v>
      </c>
      <c r="G196" s="205" t="s">
        <v>130</v>
      </c>
      <c r="H196" s="205" t="s">
        <v>131</v>
      </c>
      <c r="I196" s="205" t="s">
        <v>132</v>
      </c>
      <c r="J196" s="205" t="s">
        <v>2</v>
      </c>
      <c r="K196" s="241" t="s">
        <v>303</v>
      </c>
      <c r="L196" s="230"/>
      <c r="M196" s="143"/>
      <c r="N196" s="242" t="s">
        <v>316</v>
      </c>
      <c r="O196" s="243">
        <v>3</v>
      </c>
      <c r="P196" s="143"/>
      <c r="Q196" s="143"/>
      <c r="R196" s="297"/>
      <c r="S196" s="244" t="s">
        <v>322</v>
      </c>
      <c r="T196" s="244" t="s">
        <v>323</v>
      </c>
      <c r="U196" s="244" t="s">
        <v>324</v>
      </c>
      <c r="V196" s="244" t="s">
        <v>325</v>
      </c>
      <c r="W196" s="244" t="s">
        <v>326</v>
      </c>
      <c r="X196" s="244" t="s">
        <v>327</v>
      </c>
      <c r="Y196" s="288"/>
      <c r="Z196" s="288"/>
      <c r="AA196" s="290"/>
      <c r="AB196" s="143"/>
      <c r="AC196" s="143"/>
      <c r="AD196" s="143"/>
    </row>
    <row r="197" spans="1:30" ht="50.1" customHeight="1">
      <c r="A197" s="207" t="s">
        <v>229</v>
      </c>
      <c r="B197" s="208">
        <v>1</v>
      </c>
      <c r="C197" s="208">
        <v>2</v>
      </c>
      <c r="D197" s="208" t="s">
        <v>101</v>
      </c>
      <c r="E197" s="208" t="s">
        <v>101</v>
      </c>
      <c r="F197" s="208" t="s">
        <v>101</v>
      </c>
      <c r="G197" s="208" t="s">
        <v>101</v>
      </c>
      <c r="H197" s="208">
        <v>1</v>
      </c>
      <c r="I197" s="208" t="s">
        <v>101</v>
      </c>
      <c r="J197" s="208" t="s">
        <v>101</v>
      </c>
      <c r="K197" s="210">
        <v>4</v>
      </c>
      <c r="L197" s="230"/>
      <c r="M197" s="143"/>
      <c r="N197" s="245" t="s">
        <v>310</v>
      </c>
      <c r="O197" s="246">
        <v>7</v>
      </c>
      <c r="P197" s="143"/>
      <c r="Q197" s="143"/>
      <c r="R197" s="242" t="s">
        <v>450</v>
      </c>
      <c r="S197" s="247">
        <v>10</v>
      </c>
      <c r="T197" s="247">
        <v>70</v>
      </c>
      <c r="U197" s="247">
        <v>72</v>
      </c>
      <c r="V197" s="247">
        <v>27</v>
      </c>
      <c r="W197" s="247">
        <v>4</v>
      </c>
      <c r="X197" s="248">
        <v>5</v>
      </c>
      <c r="Y197" s="249">
        <v>156</v>
      </c>
      <c r="Z197" s="249">
        <v>174</v>
      </c>
      <c r="AA197" s="250">
        <v>143</v>
      </c>
      <c r="AB197" s="143"/>
      <c r="AC197" s="143"/>
      <c r="AD197" s="143"/>
    </row>
    <row r="198" spans="1:30" ht="50.1" customHeight="1" thickBot="1">
      <c r="A198" s="211" t="s">
        <v>230</v>
      </c>
      <c r="B198" s="138" t="s">
        <v>101</v>
      </c>
      <c r="C198" s="138"/>
      <c r="D198" s="138" t="s">
        <v>101</v>
      </c>
      <c r="E198" s="138" t="s">
        <v>101</v>
      </c>
      <c r="F198" s="138" t="s">
        <v>101</v>
      </c>
      <c r="G198" s="138" t="s">
        <v>101</v>
      </c>
      <c r="H198" s="138" t="s">
        <v>101</v>
      </c>
      <c r="I198" s="138">
        <v>1</v>
      </c>
      <c r="J198" s="138" t="s">
        <v>101</v>
      </c>
      <c r="K198" s="213">
        <v>5</v>
      </c>
      <c r="L198" s="230"/>
      <c r="M198" s="143"/>
      <c r="N198" s="245" t="s">
        <v>308</v>
      </c>
      <c r="O198" s="246">
        <v>22</v>
      </c>
      <c r="P198" s="143"/>
      <c r="Q198" s="143"/>
      <c r="R198" s="251" t="s">
        <v>321</v>
      </c>
      <c r="S198" s="252">
        <v>5.3191489361702127</v>
      </c>
      <c r="T198" s="252">
        <v>37.234042553191486</v>
      </c>
      <c r="U198" s="252">
        <v>38.297872340425535</v>
      </c>
      <c r="V198" s="252">
        <v>14.361702127659576</v>
      </c>
      <c r="W198" s="252">
        <v>2.1276595744680851</v>
      </c>
      <c r="X198" s="252">
        <v>2.6595744680851063</v>
      </c>
      <c r="Y198" s="253">
        <v>82.539682539682531</v>
      </c>
      <c r="Z198" s="253">
        <v>92.063492063492063</v>
      </c>
      <c r="AA198" s="254">
        <v>75.661375661375658</v>
      </c>
      <c r="AB198" s="143"/>
      <c r="AC198" s="143"/>
      <c r="AD198" s="143"/>
    </row>
    <row r="199" spans="1:30" ht="50.1" customHeight="1" thickTop="1">
      <c r="A199" s="211" t="s">
        <v>231</v>
      </c>
      <c r="B199" s="138" t="s">
        <v>101</v>
      </c>
      <c r="C199" s="138" t="s">
        <v>101</v>
      </c>
      <c r="D199" s="138" t="s">
        <v>101</v>
      </c>
      <c r="E199" s="138" t="s">
        <v>101</v>
      </c>
      <c r="F199" s="138">
        <v>1</v>
      </c>
      <c r="G199" s="138" t="s">
        <v>101</v>
      </c>
      <c r="H199" s="138" t="s">
        <v>101</v>
      </c>
      <c r="I199" s="138" t="s">
        <v>101</v>
      </c>
      <c r="J199" s="138" t="s">
        <v>101</v>
      </c>
      <c r="K199" s="213">
        <v>1</v>
      </c>
      <c r="L199" s="230"/>
      <c r="M199" s="143"/>
      <c r="N199" s="245" t="s">
        <v>307</v>
      </c>
      <c r="O199" s="246">
        <v>10</v>
      </c>
      <c r="P199" s="143"/>
      <c r="Q199" s="143"/>
      <c r="R199" s="159"/>
      <c r="S199" s="255"/>
      <c r="T199" s="255"/>
      <c r="U199" s="255"/>
      <c r="V199" s="255"/>
      <c r="W199" s="255"/>
      <c r="X199" s="255"/>
      <c r="Y199" s="255"/>
      <c r="Z199" s="255"/>
      <c r="AA199" s="255"/>
      <c r="AB199" s="143"/>
      <c r="AC199" s="143"/>
      <c r="AD199" s="143"/>
    </row>
    <row r="200" spans="1:30" ht="50.1" customHeight="1" thickBot="1">
      <c r="A200" s="211" t="s">
        <v>232</v>
      </c>
      <c r="B200" s="138" t="s">
        <v>101</v>
      </c>
      <c r="C200" s="138">
        <v>2</v>
      </c>
      <c r="D200" s="138" t="s">
        <v>101</v>
      </c>
      <c r="E200" s="138" t="s">
        <v>101</v>
      </c>
      <c r="F200" s="138" t="s">
        <v>101</v>
      </c>
      <c r="G200" s="138" t="s">
        <v>101</v>
      </c>
      <c r="H200" s="138" t="s">
        <v>101</v>
      </c>
      <c r="I200" s="138" t="s">
        <v>101</v>
      </c>
      <c r="J200" s="138" t="s">
        <v>101</v>
      </c>
      <c r="K200" s="213">
        <v>2</v>
      </c>
      <c r="L200" s="230"/>
      <c r="M200" s="143"/>
      <c r="N200" s="245" t="s">
        <v>309</v>
      </c>
      <c r="O200" s="246">
        <v>19</v>
      </c>
      <c r="P200" s="143"/>
      <c r="Q200" s="143"/>
      <c r="R200" s="159"/>
      <c r="S200" s="255"/>
      <c r="T200" s="255"/>
      <c r="U200" s="255"/>
      <c r="V200" s="255"/>
      <c r="W200" s="255"/>
      <c r="X200" s="255"/>
      <c r="Y200" s="255"/>
      <c r="Z200" s="255"/>
      <c r="AA200" s="255"/>
      <c r="AB200" s="143"/>
      <c r="AC200" s="143"/>
      <c r="AD200" s="143"/>
    </row>
    <row r="201" spans="1:30" ht="50.1" customHeight="1" thickTop="1">
      <c r="A201" s="211" t="s">
        <v>233</v>
      </c>
      <c r="B201" s="138" t="s">
        <v>101</v>
      </c>
      <c r="C201" s="138">
        <v>1</v>
      </c>
      <c r="D201" s="138" t="s">
        <v>101</v>
      </c>
      <c r="E201" s="138" t="s">
        <v>101</v>
      </c>
      <c r="F201" s="138" t="s">
        <v>101</v>
      </c>
      <c r="G201" s="138" t="s">
        <v>101</v>
      </c>
      <c r="H201" s="138" t="s">
        <v>101</v>
      </c>
      <c r="I201" s="138" t="s">
        <v>101</v>
      </c>
      <c r="J201" s="138" t="s">
        <v>101</v>
      </c>
      <c r="K201" s="213">
        <v>1</v>
      </c>
      <c r="L201" s="230"/>
      <c r="M201" s="143"/>
      <c r="N201" s="245" t="s">
        <v>311</v>
      </c>
      <c r="O201" s="246">
        <v>24</v>
      </c>
      <c r="P201" s="143"/>
      <c r="Q201" s="143"/>
      <c r="R201" s="300"/>
      <c r="S201" s="298" t="s">
        <v>667</v>
      </c>
      <c r="T201" s="298"/>
      <c r="U201" s="298"/>
      <c r="V201" s="299"/>
      <c r="W201" s="159"/>
      <c r="X201" s="159"/>
      <c r="Y201" s="159"/>
      <c r="Z201" s="159"/>
      <c r="AA201" s="159"/>
      <c r="AB201" s="143"/>
      <c r="AC201" s="143"/>
      <c r="AD201" s="143"/>
    </row>
    <row r="202" spans="1:30" ht="50.1" customHeight="1" thickBot="1">
      <c r="A202" s="211" t="s">
        <v>296</v>
      </c>
      <c r="B202" s="138" t="s">
        <v>101</v>
      </c>
      <c r="C202" s="138">
        <v>3</v>
      </c>
      <c r="D202" s="138" t="s">
        <v>101</v>
      </c>
      <c r="E202" s="138" t="s">
        <v>101</v>
      </c>
      <c r="F202" s="138" t="s">
        <v>101</v>
      </c>
      <c r="G202" s="138" t="s">
        <v>101</v>
      </c>
      <c r="H202" s="138" t="s">
        <v>101</v>
      </c>
      <c r="I202" s="138" t="s">
        <v>101</v>
      </c>
      <c r="J202" s="138" t="s">
        <v>101</v>
      </c>
      <c r="K202" s="213">
        <v>3</v>
      </c>
      <c r="L202" s="230"/>
      <c r="M202" s="143"/>
      <c r="N202" s="245" t="s">
        <v>312</v>
      </c>
      <c r="O202" s="246">
        <v>33</v>
      </c>
      <c r="P202" s="143"/>
      <c r="Q202" s="143"/>
      <c r="R202" s="301"/>
      <c r="S202" s="256" t="s">
        <v>5</v>
      </c>
      <c r="T202" s="257" t="s">
        <v>136</v>
      </c>
      <c r="U202" s="256" t="s">
        <v>137</v>
      </c>
      <c r="V202" s="258" t="s">
        <v>7</v>
      </c>
      <c r="W202" s="159"/>
      <c r="X202" s="159"/>
      <c r="Y202" s="159"/>
      <c r="Z202" s="159"/>
      <c r="AA202" s="159"/>
      <c r="AB202" s="143"/>
      <c r="AC202" s="143"/>
      <c r="AD202" s="143"/>
    </row>
    <row r="203" spans="1:30" ht="50.1" customHeight="1">
      <c r="A203" s="211" t="s">
        <v>234</v>
      </c>
      <c r="B203" s="138" t="s">
        <v>101</v>
      </c>
      <c r="C203" s="138" t="s">
        <v>101</v>
      </c>
      <c r="D203" s="138" t="s">
        <v>101</v>
      </c>
      <c r="E203" s="138" t="s">
        <v>101</v>
      </c>
      <c r="F203" s="138">
        <v>1</v>
      </c>
      <c r="G203" s="138" t="s">
        <v>101</v>
      </c>
      <c r="H203" s="138" t="s">
        <v>101</v>
      </c>
      <c r="I203" s="138" t="s">
        <v>101</v>
      </c>
      <c r="J203" s="138" t="s">
        <v>101</v>
      </c>
      <c r="K203" s="213">
        <v>1</v>
      </c>
      <c r="L203" s="230"/>
      <c r="M203" s="143"/>
      <c r="N203" s="245" t="s">
        <v>313</v>
      </c>
      <c r="O203" s="246">
        <v>21</v>
      </c>
      <c r="P203" s="143"/>
      <c r="Q203" s="143"/>
      <c r="R203" s="259" t="s">
        <v>450</v>
      </c>
      <c r="S203" s="248">
        <v>108</v>
      </c>
      <c r="T203" s="248">
        <v>52</v>
      </c>
      <c r="U203" s="248">
        <v>12</v>
      </c>
      <c r="V203" s="260">
        <v>15</v>
      </c>
      <c r="W203" s="159"/>
      <c r="X203" s="159"/>
      <c r="Y203" s="159"/>
      <c r="Z203" s="159"/>
      <c r="AA203" s="159"/>
      <c r="AB203" s="143"/>
      <c r="AC203" s="143"/>
      <c r="AD203" s="143"/>
    </row>
    <row r="204" spans="1:30" ht="50.1" customHeight="1" thickBot="1">
      <c r="A204" s="211" t="s">
        <v>31</v>
      </c>
      <c r="B204" s="138">
        <v>1</v>
      </c>
      <c r="C204" s="138" t="s">
        <v>101</v>
      </c>
      <c r="D204" s="138" t="s">
        <v>101</v>
      </c>
      <c r="E204" s="138" t="s">
        <v>101</v>
      </c>
      <c r="F204" s="138">
        <v>1</v>
      </c>
      <c r="G204" s="138" t="s">
        <v>101</v>
      </c>
      <c r="H204" s="138" t="s">
        <v>101</v>
      </c>
      <c r="I204" s="138" t="s">
        <v>101</v>
      </c>
      <c r="J204" s="138" t="s">
        <v>101</v>
      </c>
      <c r="K204" s="213">
        <v>2</v>
      </c>
      <c r="L204" s="230"/>
      <c r="M204" s="143"/>
      <c r="N204" s="245" t="s">
        <v>314</v>
      </c>
      <c r="O204" s="246">
        <v>27</v>
      </c>
      <c r="P204" s="143"/>
      <c r="Q204" s="143"/>
      <c r="R204" s="261" t="s">
        <v>321</v>
      </c>
      <c r="S204" s="262">
        <f>S203/187*100</f>
        <v>57.754010695187162</v>
      </c>
      <c r="T204" s="253">
        <f>T203/187*100</f>
        <v>27.807486631016044</v>
      </c>
      <c r="U204" s="253">
        <f>U203/187*100</f>
        <v>6.4171122994652414</v>
      </c>
      <c r="V204" s="254">
        <f>V203/187*100</f>
        <v>8.0213903743315509</v>
      </c>
      <c r="W204" s="159"/>
      <c r="X204" s="159"/>
      <c r="Y204" s="159"/>
      <c r="Z204" s="159"/>
      <c r="AA204" s="159"/>
      <c r="AB204" s="143"/>
      <c r="AC204" s="143"/>
      <c r="AD204" s="143"/>
    </row>
    <row r="205" spans="1:30" ht="50.1" customHeight="1" thickTop="1" thickBot="1">
      <c r="A205" s="211" t="s">
        <v>235</v>
      </c>
      <c r="B205" s="138" t="s">
        <v>101</v>
      </c>
      <c r="C205" s="138">
        <v>2</v>
      </c>
      <c r="D205" s="138" t="s">
        <v>101</v>
      </c>
      <c r="E205" s="138" t="s">
        <v>101</v>
      </c>
      <c r="F205" s="138" t="s">
        <v>101</v>
      </c>
      <c r="G205" s="138" t="s">
        <v>101</v>
      </c>
      <c r="H205" s="138" t="s">
        <v>101</v>
      </c>
      <c r="I205" s="138" t="s">
        <v>101</v>
      </c>
      <c r="J205" s="138" t="s">
        <v>101</v>
      </c>
      <c r="K205" s="213">
        <v>2</v>
      </c>
      <c r="L205" s="230"/>
      <c r="M205" s="143"/>
      <c r="N205" s="251" t="s">
        <v>315</v>
      </c>
      <c r="O205" s="263">
        <v>10</v>
      </c>
      <c r="P205" s="143"/>
      <c r="Q205" s="143"/>
      <c r="R205" s="143"/>
      <c r="S205" s="143"/>
      <c r="T205" s="143"/>
      <c r="U205" s="143"/>
      <c r="V205" s="143"/>
      <c r="W205" s="143"/>
      <c r="X205" s="143"/>
      <c r="Y205" s="143"/>
      <c r="Z205" s="143"/>
      <c r="AA205" s="143"/>
      <c r="AB205" s="143"/>
      <c r="AC205" s="143"/>
      <c r="AD205" s="143"/>
    </row>
    <row r="206" spans="1:30" ht="50.1" customHeight="1" thickTop="1">
      <c r="A206" s="211" t="s">
        <v>236</v>
      </c>
      <c r="B206" s="138" t="s">
        <v>101</v>
      </c>
      <c r="C206" s="138">
        <v>3</v>
      </c>
      <c r="D206" s="138" t="s">
        <v>101</v>
      </c>
      <c r="E206" s="138" t="s">
        <v>101</v>
      </c>
      <c r="F206" s="138" t="s">
        <v>101</v>
      </c>
      <c r="G206" s="138" t="s">
        <v>101</v>
      </c>
      <c r="H206" s="138" t="s">
        <v>101</v>
      </c>
      <c r="I206" s="138" t="s">
        <v>101</v>
      </c>
      <c r="J206" s="138" t="s">
        <v>101</v>
      </c>
      <c r="K206" s="213">
        <v>3</v>
      </c>
      <c r="L206" s="230"/>
      <c r="M206" s="143"/>
      <c r="N206" s="143"/>
      <c r="O206" s="143"/>
      <c r="P206" s="143"/>
      <c r="Q206" s="143"/>
      <c r="R206" s="143"/>
      <c r="S206" s="143"/>
      <c r="T206" s="143"/>
      <c r="U206" s="143"/>
      <c r="V206" s="143"/>
      <c r="W206" s="143"/>
      <c r="X206" s="143"/>
      <c r="Y206" s="143"/>
      <c r="Z206" s="143"/>
      <c r="AA206" s="143"/>
      <c r="AB206" s="143"/>
      <c r="AC206" s="143"/>
      <c r="AD206" s="143"/>
    </row>
    <row r="207" spans="1:30" ht="50.1" customHeight="1">
      <c r="A207" s="211" t="s">
        <v>237</v>
      </c>
      <c r="B207" s="138" t="s">
        <v>101</v>
      </c>
      <c r="C207" s="138">
        <v>1</v>
      </c>
      <c r="D207" s="138" t="s">
        <v>101</v>
      </c>
      <c r="E207" s="138" t="s">
        <v>101</v>
      </c>
      <c r="F207" s="138" t="s">
        <v>101</v>
      </c>
      <c r="G207" s="138" t="s">
        <v>101</v>
      </c>
      <c r="H207" s="138" t="s">
        <v>101</v>
      </c>
      <c r="I207" s="138" t="s">
        <v>101</v>
      </c>
      <c r="J207" s="138" t="s">
        <v>101</v>
      </c>
      <c r="K207" s="213">
        <v>1</v>
      </c>
      <c r="L207" s="230"/>
      <c r="M207" s="143"/>
      <c r="N207" s="143"/>
      <c r="O207" s="143"/>
      <c r="P207" s="143"/>
      <c r="Q207" s="143"/>
      <c r="R207" s="143"/>
      <c r="S207" s="143"/>
      <c r="T207" s="143"/>
      <c r="U207" s="143"/>
      <c r="V207" s="143"/>
      <c r="W207" s="143"/>
      <c r="X207" s="143"/>
      <c r="Y207" s="143"/>
      <c r="Z207" s="143"/>
      <c r="AA207" s="143"/>
      <c r="AB207" s="143"/>
      <c r="AC207" s="143"/>
      <c r="AD207" s="143"/>
    </row>
    <row r="208" spans="1:30" ht="50.1" customHeight="1">
      <c r="A208" s="211" t="s">
        <v>238</v>
      </c>
      <c r="B208" s="138" t="s">
        <v>101</v>
      </c>
      <c r="C208" s="138">
        <v>1</v>
      </c>
      <c r="D208" s="138" t="s">
        <v>101</v>
      </c>
      <c r="E208" s="138" t="s">
        <v>101</v>
      </c>
      <c r="F208" s="138" t="s">
        <v>101</v>
      </c>
      <c r="G208" s="138" t="s">
        <v>101</v>
      </c>
      <c r="H208" s="138" t="s">
        <v>101</v>
      </c>
      <c r="I208" s="138" t="s">
        <v>101</v>
      </c>
      <c r="J208" s="138" t="s">
        <v>101</v>
      </c>
      <c r="K208" s="213">
        <v>1</v>
      </c>
      <c r="L208" s="230"/>
      <c r="M208" s="143"/>
      <c r="N208" s="143"/>
      <c r="O208" s="143"/>
      <c r="P208" s="143"/>
      <c r="Q208" s="143"/>
      <c r="R208" s="143"/>
      <c r="S208" s="143"/>
      <c r="T208" s="143"/>
      <c r="U208" s="143"/>
      <c r="V208" s="143"/>
      <c r="W208" s="143"/>
      <c r="X208" s="143"/>
      <c r="Y208" s="143"/>
      <c r="Z208" s="143"/>
      <c r="AA208" s="143"/>
      <c r="AB208" s="143"/>
      <c r="AC208" s="143"/>
      <c r="AD208" s="143"/>
    </row>
    <row r="209" spans="1:30" ht="50.1" customHeight="1">
      <c r="A209" s="211" t="s">
        <v>299</v>
      </c>
      <c r="B209" s="138">
        <v>1</v>
      </c>
      <c r="C209" s="138" t="s">
        <v>101</v>
      </c>
      <c r="D209" s="138" t="s">
        <v>101</v>
      </c>
      <c r="E209" s="138" t="s">
        <v>101</v>
      </c>
      <c r="F209" s="138" t="s">
        <v>101</v>
      </c>
      <c r="G209" s="138">
        <v>1</v>
      </c>
      <c r="H209" s="138" t="s">
        <v>101</v>
      </c>
      <c r="I209" s="138" t="s">
        <v>101</v>
      </c>
      <c r="J209" s="138" t="s">
        <v>101</v>
      </c>
      <c r="K209" s="213">
        <v>2</v>
      </c>
      <c r="L209" s="230"/>
      <c r="M209" s="143"/>
      <c r="N209" s="143"/>
      <c r="O209" s="143"/>
      <c r="P209" s="143"/>
      <c r="Q209" s="143"/>
      <c r="R209" s="143"/>
      <c r="S209" s="143"/>
      <c r="T209" s="143"/>
      <c r="U209" s="143"/>
      <c r="V209" s="143"/>
      <c r="W209" s="143"/>
      <c r="X209" s="143"/>
      <c r="Y209" s="143"/>
      <c r="Z209" s="143"/>
      <c r="AA209" s="143"/>
      <c r="AB209" s="143"/>
      <c r="AC209" s="143"/>
      <c r="AD209" s="143"/>
    </row>
    <row r="210" spans="1:30" ht="50.1" customHeight="1">
      <c r="A210" s="211" t="s">
        <v>239</v>
      </c>
      <c r="B210" s="138" t="s">
        <v>101</v>
      </c>
      <c r="C210" s="138">
        <v>3</v>
      </c>
      <c r="D210" s="138" t="s">
        <v>101</v>
      </c>
      <c r="E210" s="138" t="s">
        <v>101</v>
      </c>
      <c r="F210" s="138" t="s">
        <v>101</v>
      </c>
      <c r="G210" s="138" t="s">
        <v>101</v>
      </c>
      <c r="H210" s="138" t="s">
        <v>101</v>
      </c>
      <c r="I210" s="138" t="s">
        <v>101</v>
      </c>
      <c r="J210" s="138" t="s">
        <v>101</v>
      </c>
      <c r="K210" s="213">
        <v>3</v>
      </c>
      <c r="L210" s="230"/>
      <c r="M210" s="143"/>
      <c r="N210" s="143"/>
      <c r="O210" s="143"/>
      <c r="P210" s="143"/>
      <c r="Q210" s="143"/>
      <c r="R210" s="143"/>
      <c r="S210" s="143"/>
      <c r="T210" s="143"/>
      <c r="U210" s="143"/>
      <c r="V210" s="143"/>
      <c r="W210" s="143"/>
      <c r="X210" s="143"/>
      <c r="Y210" s="143"/>
      <c r="Z210" s="143"/>
      <c r="AA210" s="143"/>
      <c r="AB210" s="143"/>
      <c r="AC210" s="143"/>
      <c r="AD210" s="143"/>
    </row>
    <row r="211" spans="1:30" ht="50.1" customHeight="1">
      <c r="A211" s="211" t="s">
        <v>240</v>
      </c>
      <c r="B211" s="138" t="s">
        <v>101</v>
      </c>
      <c r="C211" s="138">
        <v>2</v>
      </c>
      <c r="D211" s="138" t="s">
        <v>101</v>
      </c>
      <c r="E211" s="138" t="s">
        <v>101</v>
      </c>
      <c r="F211" s="138" t="s">
        <v>101</v>
      </c>
      <c r="G211" s="138" t="s">
        <v>101</v>
      </c>
      <c r="H211" s="138" t="s">
        <v>101</v>
      </c>
      <c r="I211" s="138" t="s">
        <v>101</v>
      </c>
      <c r="J211" s="138" t="s">
        <v>101</v>
      </c>
      <c r="K211" s="213">
        <v>2</v>
      </c>
      <c r="L211" s="230"/>
      <c r="M211" s="143"/>
      <c r="N211" s="143"/>
      <c r="O211" s="143"/>
      <c r="P211" s="143"/>
      <c r="Q211" s="143"/>
      <c r="R211" s="143"/>
      <c r="S211" s="143"/>
      <c r="T211" s="143"/>
      <c r="U211" s="143"/>
      <c r="V211" s="143"/>
      <c r="W211" s="143"/>
      <c r="X211" s="143"/>
      <c r="Y211" s="143"/>
      <c r="Z211" s="143"/>
      <c r="AA211" s="143"/>
      <c r="AB211" s="143"/>
      <c r="AC211" s="143"/>
      <c r="AD211" s="143"/>
    </row>
    <row r="212" spans="1:30" ht="50.1" customHeight="1">
      <c r="A212" s="211" t="s">
        <v>241</v>
      </c>
      <c r="B212" s="138">
        <v>1</v>
      </c>
      <c r="C212" s="138">
        <v>1</v>
      </c>
      <c r="D212" s="138" t="s">
        <v>101</v>
      </c>
      <c r="E212" s="138" t="s">
        <v>101</v>
      </c>
      <c r="F212" s="138" t="s">
        <v>101</v>
      </c>
      <c r="G212" s="138" t="s">
        <v>101</v>
      </c>
      <c r="H212" s="138" t="s">
        <v>101</v>
      </c>
      <c r="I212" s="138" t="s">
        <v>101</v>
      </c>
      <c r="J212" s="138" t="s">
        <v>101</v>
      </c>
      <c r="K212" s="213">
        <v>2</v>
      </c>
      <c r="L212" s="230"/>
      <c r="M212" s="143"/>
      <c r="N212" s="143"/>
      <c r="O212" s="143"/>
      <c r="P212" s="143"/>
      <c r="Q212" s="143"/>
      <c r="R212" s="143"/>
      <c r="S212" s="143"/>
      <c r="T212" s="143"/>
      <c r="U212" s="143"/>
      <c r="V212" s="143"/>
      <c r="W212" s="143"/>
      <c r="X212" s="143"/>
      <c r="Y212" s="143"/>
      <c r="Z212" s="143"/>
      <c r="AA212" s="143"/>
      <c r="AB212" s="143"/>
      <c r="AC212" s="143"/>
      <c r="AD212" s="143"/>
    </row>
    <row r="213" spans="1:30" ht="50.1" customHeight="1">
      <c r="A213" s="211" t="s">
        <v>242</v>
      </c>
      <c r="B213" s="138" t="s">
        <v>101</v>
      </c>
      <c r="C213" s="138">
        <v>4</v>
      </c>
      <c r="D213" s="138" t="s">
        <v>101</v>
      </c>
      <c r="E213" s="138" t="s">
        <v>101</v>
      </c>
      <c r="F213" s="138" t="s">
        <v>101</v>
      </c>
      <c r="G213" s="138" t="s">
        <v>101</v>
      </c>
      <c r="H213" s="138" t="s">
        <v>101</v>
      </c>
      <c r="I213" s="138" t="s">
        <v>101</v>
      </c>
      <c r="J213" s="138" t="s">
        <v>101</v>
      </c>
      <c r="K213" s="213">
        <v>4</v>
      </c>
      <c r="L213" s="230"/>
      <c r="M213" s="143"/>
      <c r="N213" s="143"/>
      <c r="O213" s="143"/>
      <c r="P213" s="143"/>
      <c r="Q213" s="143"/>
      <c r="R213" s="143"/>
      <c r="S213" s="143"/>
      <c r="T213" s="143"/>
      <c r="U213" s="143"/>
      <c r="V213" s="143"/>
      <c r="W213" s="143"/>
      <c r="X213" s="143"/>
      <c r="Y213" s="143"/>
      <c r="Z213" s="143"/>
      <c r="AA213" s="143"/>
      <c r="AB213" s="143"/>
      <c r="AC213" s="143"/>
      <c r="AD213" s="143"/>
    </row>
    <row r="214" spans="1:30" ht="50.1" customHeight="1">
      <c r="A214" s="211" t="s">
        <v>243</v>
      </c>
      <c r="B214" s="138" t="s">
        <v>101</v>
      </c>
      <c r="C214" s="138">
        <v>2</v>
      </c>
      <c r="D214" s="138" t="s">
        <v>101</v>
      </c>
      <c r="E214" s="138" t="s">
        <v>101</v>
      </c>
      <c r="F214" s="138" t="s">
        <v>101</v>
      </c>
      <c r="G214" s="138" t="s">
        <v>101</v>
      </c>
      <c r="H214" s="138" t="s">
        <v>101</v>
      </c>
      <c r="I214" s="138" t="s">
        <v>101</v>
      </c>
      <c r="J214" s="138" t="s">
        <v>101</v>
      </c>
      <c r="K214" s="213">
        <v>3</v>
      </c>
      <c r="L214" s="230"/>
      <c r="M214" s="143"/>
      <c r="N214" s="143"/>
      <c r="O214" s="143"/>
      <c r="P214" s="143"/>
      <c r="Q214" s="143"/>
      <c r="R214" s="143"/>
      <c r="S214" s="143"/>
      <c r="T214" s="143"/>
      <c r="U214" s="143"/>
      <c r="V214" s="143"/>
      <c r="W214" s="143"/>
      <c r="X214" s="143"/>
      <c r="Y214" s="143"/>
      <c r="Z214" s="143"/>
      <c r="AA214" s="143"/>
      <c r="AB214" s="143"/>
      <c r="AC214" s="143"/>
      <c r="AD214" s="143"/>
    </row>
    <row r="215" spans="1:30" ht="50.1" customHeight="1">
      <c r="A215" s="211" t="s">
        <v>244</v>
      </c>
      <c r="B215" s="138" t="s">
        <v>101</v>
      </c>
      <c r="C215" s="138">
        <v>1</v>
      </c>
      <c r="D215" s="138" t="s">
        <v>101</v>
      </c>
      <c r="E215" s="138" t="s">
        <v>101</v>
      </c>
      <c r="F215" s="138" t="s">
        <v>101</v>
      </c>
      <c r="G215" s="138" t="s">
        <v>101</v>
      </c>
      <c r="H215" s="138" t="s">
        <v>101</v>
      </c>
      <c r="I215" s="138" t="s">
        <v>101</v>
      </c>
      <c r="J215" s="138" t="s">
        <v>101</v>
      </c>
      <c r="K215" s="213">
        <v>1</v>
      </c>
      <c r="L215" s="230"/>
      <c r="M215" s="143"/>
      <c r="N215" s="143"/>
      <c r="O215" s="143"/>
      <c r="P215" s="143"/>
      <c r="Q215" s="143"/>
      <c r="R215" s="143"/>
      <c r="S215" s="143"/>
      <c r="T215" s="143"/>
      <c r="U215" s="143"/>
      <c r="V215" s="143"/>
      <c r="W215" s="143"/>
      <c r="X215" s="143"/>
      <c r="Y215" s="143"/>
      <c r="Z215" s="143"/>
      <c r="AA215" s="143"/>
      <c r="AB215" s="143"/>
      <c r="AC215" s="143"/>
      <c r="AD215" s="143"/>
    </row>
    <row r="216" spans="1:30" ht="50.1" customHeight="1">
      <c r="A216" s="211" t="s">
        <v>245</v>
      </c>
      <c r="B216" s="138">
        <v>1</v>
      </c>
      <c r="C216" s="138" t="s">
        <v>101</v>
      </c>
      <c r="D216" s="138" t="s">
        <v>101</v>
      </c>
      <c r="E216" s="138" t="s">
        <v>101</v>
      </c>
      <c r="F216" s="138">
        <v>2</v>
      </c>
      <c r="G216" s="138" t="s">
        <v>101</v>
      </c>
      <c r="H216" s="138" t="s">
        <v>101</v>
      </c>
      <c r="I216" s="138" t="s">
        <v>101</v>
      </c>
      <c r="J216" s="138" t="s">
        <v>101</v>
      </c>
      <c r="K216" s="213">
        <v>2</v>
      </c>
      <c r="L216" s="230"/>
      <c r="M216" s="143"/>
      <c r="N216" s="143"/>
      <c r="O216" s="143"/>
      <c r="P216" s="143"/>
      <c r="Q216" s="143"/>
      <c r="R216" s="143"/>
      <c r="S216" s="143"/>
      <c r="T216" s="143"/>
      <c r="U216" s="143"/>
      <c r="V216" s="143"/>
      <c r="W216" s="143"/>
      <c r="X216" s="143"/>
      <c r="Y216" s="143"/>
      <c r="Z216" s="143"/>
      <c r="AA216" s="143"/>
      <c r="AB216" s="143"/>
      <c r="AC216" s="143"/>
      <c r="AD216" s="143"/>
    </row>
    <row r="217" spans="1:30" ht="50.1" customHeight="1">
      <c r="A217" s="211" t="s">
        <v>246</v>
      </c>
      <c r="B217" s="138" t="s">
        <v>101</v>
      </c>
      <c r="C217" s="138">
        <v>1</v>
      </c>
      <c r="D217" s="138" t="s">
        <v>101</v>
      </c>
      <c r="E217" s="138" t="s">
        <v>101</v>
      </c>
      <c r="F217" s="138" t="s">
        <v>101</v>
      </c>
      <c r="G217" s="138" t="s">
        <v>101</v>
      </c>
      <c r="H217" s="138" t="s">
        <v>101</v>
      </c>
      <c r="I217" s="138" t="s">
        <v>101</v>
      </c>
      <c r="J217" s="138" t="s">
        <v>101</v>
      </c>
      <c r="K217" s="213">
        <v>1</v>
      </c>
      <c r="L217" s="230"/>
      <c r="M217" s="143"/>
      <c r="N217" s="143"/>
      <c r="O217" s="143"/>
      <c r="P217" s="143"/>
      <c r="Q217" s="143"/>
      <c r="R217" s="143"/>
      <c r="S217" s="143"/>
      <c r="T217" s="143"/>
      <c r="U217" s="143"/>
      <c r="V217" s="143"/>
      <c r="W217" s="143"/>
      <c r="X217" s="143"/>
      <c r="Y217" s="143"/>
      <c r="Z217" s="143"/>
      <c r="AA217" s="143"/>
      <c r="AB217" s="143"/>
      <c r="AC217" s="143"/>
      <c r="AD217" s="143"/>
    </row>
    <row r="218" spans="1:30" ht="50.1" customHeight="1">
      <c r="A218" s="211" t="s">
        <v>247</v>
      </c>
      <c r="B218" s="138">
        <v>1</v>
      </c>
      <c r="C218" s="138" t="s">
        <v>101</v>
      </c>
      <c r="D218" s="138" t="s">
        <v>101</v>
      </c>
      <c r="E218" s="138" t="s">
        <v>101</v>
      </c>
      <c r="F218" s="138" t="s">
        <v>101</v>
      </c>
      <c r="G218" s="138" t="s">
        <v>101</v>
      </c>
      <c r="H218" s="138" t="s">
        <v>101</v>
      </c>
      <c r="I218" s="138" t="s">
        <v>101</v>
      </c>
      <c r="J218" s="138" t="s">
        <v>101</v>
      </c>
      <c r="K218" s="213">
        <v>1</v>
      </c>
      <c r="L218" s="230"/>
      <c r="M218" s="143"/>
      <c r="N218" s="143"/>
      <c r="O218" s="143"/>
      <c r="P218" s="143"/>
      <c r="Q218" s="143"/>
      <c r="R218" s="143"/>
      <c r="S218" s="143"/>
      <c r="T218" s="143"/>
      <c r="U218" s="143"/>
      <c r="V218" s="143"/>
      <c r="W218" s="143"/>
      <c r="X218" s="143"/>
      <c r="Y218" s="143"/>
      <c r="Z218" s="143"/>
      <c r="AA218" s="143"/>
      <c r="AB218" s="143"/>
      <c r="AC218" s="143"/>
      <c r="AD218" s="143"/>
    </row>
    <row r="219" spans="1:30" ht="50.1" customHeight="1">
      <c r="A219" s="211" t="s">
        <v>248</v>
      </c>
      <c r="B219" s="138" t="s">
        <v>101</v>
      </c>
      <c r="C219" s="138">
        <v>1</v>
      </c>
      <c r="D219" s="138" t="s">
        <v>101</v>
      </c>
      <c r="E219" s="138" t="s">
        <v>101</v>
      </c>
      <c r="F219" s="138" t="s">
        <v>101</v>
      </c>
      <c r="G219" s="138" t="s">
        <v>101</v>
      </c>
      <c r="H219" s="138" t="s">
        <v>101</v>
      </c>
      <c r="I219" s="138" t="s">
        <v>101</v>
      </c>
      <c r="J219" s="138" t="s">
        <v>101</v>
      </c>
      <c r="K219" s="213">
        <v>1</v>
      </c>
      <c r="L219" s="230"/>
      <c r="M219" s="143"/>
      <c r="N219" s="143"/>
      <c r="O219" s="143"/>
      <c r="P219" s="143"/>
      <c r="Q219" s="143"/>
      <c r="R219" s="143"/>
      <c r="S219" s="143"/>
      <c r="T219" s="143"/>
      <c r="U219" s="143"/>
      <c r="V219" s="143"/>
      <c r="W219" s="143"/>
      <c r="X219" s="143"/>
      <c r="Y219" s="143"/>
      <c r="Z219" s="143"/>
      <c r="AA219" s="143"/>
      <c r="AB219" s="143"/>
      <c r="AC219" s="143"/>
      <c r="AD219" s="143"/>
    </row>
    <row r="220" spans="1:30" ht="50.1" customHeight="1">
      <c r="A220" s="211" t="s">
        <v>300</v>
      </c>
      <c r="B220" s="138">
        <v>1</v>
      </c>
      <c r="C220" s="138" t="s">
        <v>101</v>
      </c>
      <c r="D220" s="138" t="s">
        <v>101</v>
      </c>
      <c r="E220" s="138" t="s">
        <v>101</v>
      </c>
      <c r="F220" s="138" t="s">
        <v>101</v>
      </c>
      <c r="G220" s="138" t="s">
        <v>101</v>
      </c>
      <c r="H220" s="138" t="s">
        <v>101</v>
      </c>
      <c r="I220" s="138" t="s">
        <v>101</v>
      </c>
      <c r="J220" s="138" t="s">
        <v>101</v>
      </c>
      <c r="K220" s="213">
        <v>1</v>
      </c>
      <c r="L220" s="230"/>
      <c r="M220" s="143"/>
      <c r="N220" s="143"/>
      <c r="O220" s="143"/>
      <c r="P220" s="143"/>
      <c r="Q220" s="143"/>
      <c r="R220" s="143"/>
      <c r="S220" s="143"/>
      <c r="T220" s="143"/>
      <c r="U220" s="143"/>
      <c r="V220" s="143"/>
      <c r="W220" s="143"/>
      <c r="X220" s="143"/>
      <c r="Y220" s="143"/>
      <c r="Z220" s="143"/>
      <c r="AA220" s="143"/>
      <c r="AB220" s="143"/>
      <c r="AC220" s="143"/>
      <c r="AD220" s="143"/>
    </row>
    <row r="221" spans="1:30" ht="50.1" customHeight="1">
      <c r="A221" s="211" t="s">
        <v>295</v>
      </c>
      <c r="B221" s="138" t="s">
        <v>101</v>
      </c>
      <c r="C221" s="138">
        <v>1</v>
      </c>
      <c r="D221" s="138" t="s">
        <v>101</v>
      </c>
      <c r="E221" s="138" t="s">
        <v>101</v>
      </c>
      <c r="F221" s="138" t="s">
        <v>101</v>
      </c>
      <c r="G221" s="138" t="s">
        <v>101</v>
      </c>
      <c r="H221" s="138" t="s">
        <v>101</v>
      </c>
      <c r="I221" s="138" t="s">
        <v>101</v>
      </c>
      <c r="J221" s="138" t="s">
        <v>101</v>
      </c>
      <c r="K221" s="213">
        <v>1</v>
      </c>
      <c r="L221" s="230"/>
      <c r="M221" s="143"/>
      <c r="N221" s="143"/>
      <c r="O221" s="143"/>
      <c r="P221" s="143"/>
      <c r="Q221" s="143"/>
      <c r="R221" s="143"/>
      <c r="S221" s="143"/>
      <c r="T221" s="143"/>
      <c r="U221" s="143"/>
      <c r="V221" s="143"/>
      <c r="W221" s="143"/>
      <c r="X221" s="143"/>
      <c r="Y221" s="143"/>
      <c r="Z221" s="143"/>
      <c r="AA221" s="143"/>
      <c r="AB221" s="143"/>
      <c r="AC221" s="143"/>
      <c r="AD221" s="143"/>
    </row>
    <row r="222" spans="1:30" ht="50.1" customHeight="1">
      <c r="A222" s="211" t="s">
        <v>249</v>
      </c>
      <c r="B222" s="138">
        <v>1</v>
      </c>
      <c r="C222" s="138">
        <v>6</v>
      </c>
      <c r="D222" s="138" t="s">
        <v>101</v>
      </c>
      <c r="E222" s="138" t="s">
        <v>101</v>
      </c>
      <c r="F222" s="138">
        <v>1</v>
      </c>
      <c r="G222" s="138" t="s">
        <v>101</v>
      </c>
      <c r="H222" s="138" t="s">
        <v>101</v>
      </c>
      <c r="I222" s="138" t="s">
        <v>101</v>
      </c>
      <c r="J222" s="138" t="s">
        <v>101</v>
      </c>
      <c r="K222" s="213">
        <v>7</v>
      </c>
      <c r="L222" s="230"/>
      <c r="M222" s="143"/>
      <c r="N222" s="143"/>
      <c r="O222" s="143"/>
      <c r="P222" s="143"/>
      <c r="Q222" s="143"/>
      <c r="R222" s="143"/>
      <c r="S222" s="143"/>
      <c r="T222" s="143"/>
      <c r="U222" s="143"/>
      <c r="V222" s="143"/>
      <c r="W222" s="143"/>
      <c r="X222" s="143"/>
      <c r="Y222" s="143"/>
      <c r="Z222" s="143"/>
      <c r="AA222" s="143"/>
      <c r="AB222" s="143"/>
      <c r="AC222" s="143"/>
      <c r="AD222" s="143"/>
    </row>
    <row r="223" spans="1:30" ht="50.1" customHeight="1">
      <c r="A223" s="211" t="s">
        <v>30</v>
      </c>
      <c r="B223" s="138" t="s">
        <v>101</v>
      </c>
      <c r="C223" s="138">
        <v>1</v>
      </c>
      <c r="D223" s="138" t="s">
        <v>101</v>
      </c>
      <c r="E223" s="138" t="s">
        <v>101</v>
      </c>
      <c r="F223" s="138" t="s">
        <v>101</v>
      </c>
      <c r="G223" s="138" t="s">
        <v>101</v>
      </c>
      <c r="H223" s="138" t="s">
        <v>101</v>
      </c>
      <c r="I223" s="138" t="s">
        <v>101</v>
      </c>
      <c r="J223" s="138" t="s">
        <v>101</v>
      </c>
      <c r="K223" s="213">
        <v>1</v>
      </c>
      <c r="L223" s="230"/>
      <c r="M223" s="143"/>
      <c r="N223" s="143"/>
      <c r="O223" s="143"/>
      <c r="P223" s="143"/>
      <c r="Q223" s="143"/>
      <c r="R223" s="143"/>
      <c r="S223" s="143"/>
      <c r="T223" s="143"/>
      <c r="U223" s="143"/>
      <c r="V223" s="143"/>
      <c r="W223" s="143"/>
      <c r="X223" s="143"/>
      <c r="Y223" s="143"/>
      <c r="Z223" s="143"/>
      <c r="AA223" s="143"/>
      <c r="AB223" s="143"/>
      <c r="AC223" s="143"/>
      <c r="AD223" s="143"/>
    </row>
    <row r="224" spans="1:30" ht="50.1" customHeight="1">
      <c r="A224" s="211" t="s">
        <v>250</v>
      </c>
      <c r="B224" s="138" t="s">
        <v>101</v>
      </c>
      <c r="C224" s="138">
        <v>1</v>
      </c>
      <c r="D224" s="138" t="s">
        <v>101</v>
      </c>
      <c r="E224" s="138" t="s">
        <v>101</v>
      </c>
      <c r="F224" s="138" t="s">
        <v>101</v>
      </c>
      <c r="G224" s="138" t="s">
        <v>101</v>
      </c>
      <c r="H224" s="138" t="s">
        <v>101</v>
      </c>
      <c r="I224" s="138" t="s">
        <v>101</v>
      </c>
      <c r="J224" s="138" t="s">
        <v>101</v>
      </c>
      <c r="K224" s="213">
        <v>1</v>
      </c>
      <c r="L224" s="230"/>
      <c r="M224" s="143"/>
      <c r="N224" s="143"/>
      <c r="O224" s="143"/>
      <c r="P224" s="143"/>
      <c r="Q224" s="143"/>
      <c r="R224" s="143"/>
      <c r="S224" s="143"/>
      <c r="T224" s="143"/>
      <c r="U224" s="143"/>
      <c r="V224" s="143"/>
      <c r="W224" s="143"/>
      <c r="X224" s="143"/>
      <c r="Y224" s="143"/>
      <c r="Z224" s="143"/>
      <c r="AA224" s="143"/>
      <c r="AB224" s="143"/>
      <c r="AC224" s="143"/>
      <c r="AD224" s="143"/>
    </row>
    <row r="225" spans="1:30" ht="50.1" customHeight="1">
      <c r="A225" s="211" t="s">
        <v>251</v>
      </c>
      <c r="B225" s="138" t="s">
        <v>101</v>
      </c>
      <c r="C225" s="138">
        <v>3</v>
      </c>
      <c r="D225" s="138" t="s">
        <v>101</v>
      </c>
      <c r="E225" s="138" t="s">
        <v>101</v>
      </c>
      <c r="F225" s="138" t="s">
        <v>101</v>
      </c>
      <c r="G225" s="138" t="s">
        <v>101</v>
      </c>
      <c r="H225" s="138" t="s">
        <v>101</v>
      </c>
      <c r="I225" s="138" t="s">
        <v>101</v>
      </c>
      <c r="J225" s="138" t="s">
        <v>101</v>
      </c>
      <c r="K225" s="213">
        <v>3</v>
      </c>
      <c r="L225" s="230"/>
      <c r="M225" s="143"/>
      <c r="N225" s="143"/>
      <c r="O225" s="143"/>
      <c r="P225" s="143"/>
      <c r="Q225" s="143"/>
      <c r="R225" s="143"/>
      <c r="S225" s="143"/>
      <c r="T225" s="143"/>
      <c r="U225" s="143"/>
      <c r="V225" s="143"/>
      <c r="W225" s="143"/>
      <c r="X225" s="143"/>
      <c r="Y225" s="143"/>
      <c r="Z225" s="143"/>
      <c r="AA225" s="143"/>
      <c r="AB225" s="143"/>
      <c r="AC225" s="143"/>
      <c r="AD225" s="143"/>
    </row>
    <row r="226" spans="1:30" ht="50.1" customHeight="1">
      <c r="A226" s="211" t="s">
        <v>298</v>
      </c>
      <c r="B226" s="138" t="s">
        <v>101</v>
      </c>
      <c r="C226" s="138">
        <v>1</v>
      </c>
      <c r="D226" s="138" t="s">
        <v>101</v>
      </c>
      <c r="E226" s="138" t="s">
        <v>101</v>
      </c>
      <c r="F226" s="138" t="s">
        <v>101</v>
      </c>
      <c r="G226" s="138" t="s">
        <v>101</v>
      </c>
      <c r="H226" s="138" t="s">
        <v>101</v>
      </c>
      <c r="I226" s="138" t="s">
        <v>101</v>
      </c>
      <c r="J226" s="138" t="s">
        <v>101</v>
      </c>
      <c r="K226" s="213">
        <v>1</v>
      </c>
      <c r="L226" s="230"/>
      <c r="M226" s="143"/>
      <c r="N226" s="143"/>
      <c r="O226" s="143"/>
      <c r="P226" s="143"/>
      <c r="Q226" s="143"/>
      <c r="R226" s="143"/>
      <c r="S226" s="143"/>
      <c r="T226" s="143"/>
      <c r="U226" s="143"/>
      <c r="V226" s="143"/>
      <c r="W226" s="143"/>
      <c r="X226" s="143"/>
      <c r="Y226" s="143"/>
      <c r="Z226" s="143"/>
      <c r="AA226" s="143"/>
      <c r="AB226" s="143"/>
      <c r="AC226" s="143"/>
      <c r="AD226" s="143"/>
    </row>
    <row r="227" spans="1:30" ht="50.1" customHeight="1">
      <c r="A227" s="211" t="s">
        <v>252</v>
      </c>
      <c r="B227" s="138" t="s">
        <v>101</v>
      </c>
      <c r="C227" s="138">
        <v>1</v>
      </c>
      <c r="D227" s="138" t="s">
        <v>101</v>
      </c>
      <c r="E227" s="138" t="s">
        <v>101</v>
      </c>
      <c r="F227" s="138" t="s">
        <v>101</v>
      </c>
      <c r="G227" s="138" t="s">
        <v>101</v>
      </c>
      <c r="H227" s="138" t="s">
        <v>101</v>
      </c>
      <c r="I227" s="138" t="s">
        <v>101</v>
      </c>
      <c r="J227" s="138" t="s">
        <v>101</v>
      </c>
      <c r="K227" s="213">
        <v>1</v>
      </c>
      <c r="L227" s="230"/>
      <c r="M227" s="143"/>
      <c r="N227" s="143"/>
      <c r="O227" s="143"/>
      <c r="P227" s="143"/>
      <c r="Q227" s="143"/>
      <c r="R227" s="143"/>
      <c r="S227" s="143"/>
      <c r="T227" s="143"/>
      <c r="U227" s="143"/>
      <c r="V227" s="143"/>
      <c r="W227" s="143"/>
      <c r="X227" s="143"/>
      <c r="Y227" s="143"/>
      <c r="Z227" s="143"/>
      <c r="AA227" s="143"/>
      <c r="AB227" s="143"/>
      <c r="AC227" s="143"/>
      <c r="AD227" s="143"/>
    </row>
    <row r="228" spans="1:30" ht="50.1" customHeight="1">
      <c r="A228" s="211" t="s">
        <v>253</v>
      </c>
      <c r="B228" s="138" t="s">
        <v>101</v>
      </c>
      <c r="C228" s="138">
        <v>1</v>
      </c>
      <c r="D228" s="138" t="s">
        <v>101</v>
      </c>
      <c r="E228" s="138" t="s">
        <v>101</v>
      </c>
      <c r="F228" s="138" t="s">
        <v>101</v>
      </c>
      <c r="G228" s="138" t="s">
        <v>101</v>
      </c>
      <c r="H228" s="138" t="s">
        <v>101</v>
      </c>
      <c r="I228" s="138" t="s">
        <v>101</v>
      </c>
      <c r="J228" s="138" t="s">
        <v>101</v>
      </c>
      <c r="K228" s="213">
        <v>1</v>
      </c>
      <c r="L228" s="230"/>
      <c r="M228" s="143"/>
      <c r="N228" s="143"/>
      <c r="O228" s="143"/>
      <c r="P228" s="143"/>
      <c r="Q228" s="143"/>
      <c r="R228" s="143"/>
      <c r="S228" s="143"/>
      <c r="T228" s="143"/>
      <c r="U228" s="143"/>
      <c r="V228" s="143"/>
      <c r="W228" s="143"/>
      <c r="X228" s="143"/>
      <c r="Y228" s="143"/>
      <c r="Z228" s="143"/>
      <c r="AA228" s="143"/>
      <c r="AB228" s="143"/>
      <c r="AC228" s="143"/>
      <c r="AD228" s="143"/>
    </row>
    <row r="229" spans="1:30" ht="50.1" customHeight="1">
      <c r="A229" s="211" t="s">
        <v>254</v>
      </c>
      <c r="B229" s="138" t="s">
        <v>101</v>
      </c>
      <c r="C229" s="138" t="s">
        <v>101</v>
      </c>
      <c r="D229" s="138" t="s">
        <v>101</v>
      </c>
      <c r="E229" s="138" t="s">
        <v>101</v>
      </c>
      <c r="F229" s="138">
        <v>1</v>
      </c>
      <c r="G229" s="138" t="s">
        <v>101</v>
      </c>
      <c r="H229" s="138" t="s">
        <v>101</v>
      </c>
      <c r="I229" s="138" t="s">
        <v>101</v>
      </c>
      <c r="J229" s="138" t="s">
        <v>101</v>
      </c>
      <c r="K229" s="213">
        <v>1</v>
      </c>
      <c r="L229" s="230"/>
      <c r="M229" s="143"/>
      <c r="N229" s="143"/>
      <c r="O229" s="143"/>
      <c r="P229" s="143"/>
      <c r="Q229" s="143"/>
      <c r="R229" s="143"/>
      <c r="S229" s="143"/>
      <c r="T229" s="143"/>
      <c r="U229" s="143"/>
      <c r="V229" s="143"/>
      <c r="W229" s="143"/>
      <c r="X229" s="143"/>
      <c r="Y229" s="143"/>
      <c r="Z229" s="143"/>
      <c r="AA229" s="143"/>
      <c r="AB229" s="143"/>
      <c r="AC229" s="143"/>
      <c r="AD229" s="143"/>
    </row>
    <row r="230" spans="1:30" ht="50.1" customHeight="1">
      <c r="A230" s="211" t="s">
        <v>255</v>
      </c>
      <c r="B230" s="138" t="s">
        <v>101</v>
      </c>
      <c r="C230" s="138">
        <v>1</v>
      </c>
      <c r="D230" s="138" t="s">
        <v>101</v>
      </c>
      <c r="E230" s="138" t="s">
        <v>101</v>
      </c>
      <c r="F230" s="138" t="s">
        <v>101</v>
      </c>
      <c r="G230" s="138" t="s">
        <v>101</v>
      </c>
      <c r="H230" s="138" t="s">
        <v>101</v>
      </c>
      <c r="I230" s="138" t="s">
        <v>101</v>
      </c>
      <c r="J230" s="138" t="s">
        <v>101</v>
      </c>
      <c r="K230" s="213">
        <v>1</v>
      </c>
      <c r="L230" s="230"/>
      <c r="M230" s="143"/>
      <c r="N230" s="143"/>
      <c r="O230" s="143"/>
      <c r="P230" s="143"/>
      <c r="Q230" s="143"/>
      <c r="R230" s="143"/>
      <c r="S230" s="143"/>
      <c r="T230" s="143"/>
      <c r="U230" s="143"/>
      <c r="V230" s="143"/>
      <c r="W230" s="143"/>
      <c r="X230" s="143"/>
      <c r="Y230" s="143"/>
      <c r="Z230" s="143"/>
      <c r="AA230" s="143"/>
      <c r="AB230" s="143"/>
      <c r="AC230" s="143"/>
      <c r="AD230" s="143"/>
    </row>
    <row r="231" spans="1:30" ht="50.1" customHeight="1">
      <c r="A231" s="211" t="s">
        <v>256</v>
      </c>
      <c r="B231" s="138">
        <v>1</v>
      </c>
      <c r="C231" s="138">
        <v>5</v>
      </c>
      <c r="D231" s="138" t="s">
        <v>101</v>
      </c>
      <c r="E231" s="138" t="s">
        <v>101</v>
      </c>
      <c r="F231" s="138" t="s">
        <v>101</v>
      </c>
      <c r="G231" s="138" t="s">
        <v>101</v>
      </c>
      <c r="H231" s="138" t="s">
        <v>101</v>
      </c>
      <c r="I231" s="138" t="s">
        <v>101</v>
      </c>
      <c r="J231" s="138" t="s">
        <v>101</v>
      </c>
      <c r="K231" s="213">
        <v>6</v>
      </c>
      <c r="L231" s="230"/>
      <c r="M231" s="143"/>
      <c r="N231" s="143"/>
      <c r="O231" s="143"/>
      <c r="P231" s="143"/>
      <c r="Q231" s="143"/>
      <c r="R231" s="143"/>
      <c r="S231" s="143"/>
      <c r="T231" s="143"/>
      <c r="U231" s="143"/>
      <c r="V231" s="143"/>
      <c r="W231" s="143"/>
      <c r="X231" s="143"/>
      <c r="Y231" s="143"/>
      <c r="Z231" s="143"/>
      <c r="AA231" s="143"/>
      <c r="AB231" s="143"/>
      <c r="AC231" s="143"/>
      <c r="AD231" s="143"/>
    </row>
    <row r="232" spans="1:30" ht="50.1" customHeight="1">
      <c r="A232" s="211" t="s">
        <v>257</v>
      </c>
      <c r="B232" s="138">
        <v>1</v>
      </c>
      <c r="C232" s="138" t="s">
        <v>101</v>
      </c>
      <c r="D232" s="138" t="s">
        <v>101</v>
      </c>
      <c r="E232" s="138" t="s">
        <v>101</v>
      </c>
      <c r="F232" s="138" t="s">
        <v>101</v>
      </c>
      <c r="G232" s="138" t="s">
        <v>101</v>
      </c>
      <c r="H232" s="138" t="s">
        <v>101</v>
      </c>
      <c r="I232" s="138" t="s">
        <v>101</v>
      </c>
      <c r="J232" s="138" t="s">
        <v>101</v>
      </c>
      <c r="K232" s="213">
        <v>1</v>
      </c>
      <c r="L232" s="230"/>
      <c r="M232" s="143"/>
      <c r="N232" s="143"/>
      <c r="O232" s="143"/>
      <c r="P232" s="143"/>
      <c r="Q232" s="143"/>
      <c r="R232" s="143"/>
      <c r="S232" s="143"/>
      <c r="T232" s="143"/>
      <c r="U232" s="143"/>
      <c r="V232" s="143"/>
      <c r="W232" s="143"/>
      <c r="X232" s="143"/>
      <c r="Y232" s="143"/>
      <c r="Z232" s="143"/>
      <c r="AA232" s="143"/>
      <c r="AB232" s="143"/>
      <c r="AC232" s="143"/>
      <c r="AD232" s="143"/>
    </row>
    <row r="233" spans="1:30" ht="50.1" customHeight="1">
      <c r="A233" s="211" t="s">
        <v>258</v>
      </c>
      <c r="B233" s="138" t="s">
        <v>101</v>
      </c>
      <c r="C233" s="138">
        <v>1</v>
      </c>
      <c r="D233" s="138" t="s">
        <v>101</v>
      </c>
      <c r="E233" s="138" t="s">
        <v>101</v>
      </c>
      <c r="F233" s="138" t="s">
        <v>101</v>
      </c>
      <c r="G233" s="138" t="s">
        <v>101</v>
      </c>
      <c r="H233" s="138" t="s">
        <v>101</v>
      </c>
      <c r="I233" s="138" t="s">
        <v>101</v>
      </c>
      <c r="J233" s="138" t="s">
        <v>101</v>
      </c>
      <c r="K233" s="213">
        <v>1</v>
      </c>
      <c r="L233" s="230"/>
      <c r="M233" s="143"/>
      <c r="N233" s="143"/>
      <c r="O233" s="143"/>
      <c r="P233" s="143"/>
      <c r="Q233" s="143"/>
      <c r="R233" s="143"/>
      <c r="S233" s="143"/>
      <c r="T233" s="143"/>
      <c r="U233" s="143"/>
      <c r="V233" s="143"/>
      <c r="W233" s="143"/>
      <c r="X233" s="143"/>
      <c r="Y233" s="143"/>
      <c r="Z233" s="143"/>
      <c r="AA233" s="143"/>
      <c r="AB233" s="143"/>
      <c r="AC233" s="143"/>
      <c r="AD233" s="143"/>
    </row>
    <row r="234" spans="1:30" ht="50.1" customHeight="1">
      <c r="A234" s="211" t="s">
        <v>259</v>
      </c>
      <c r="B234" s="138" t="s">
        <v>101</v>
      </c>
      <c r="C234" s="138">
        <v>1</v>
      </c>
      <c r="D234" s="138" t="s">
        <v>101</v>
      </c>
      <c r="E234" s="138" t="s">
        <v>101</v>
      </c>
      <c r="F234" s="138" t="s">
        <v>101</v>
      </c>
      <c r="G234" s="138" t="s">
        <v>101</v>
      </c>
      <c r="H234" s="138" t="s">
        <v>101</v>
      </c>
      <c r="I234" s="138" t="s">
        <v>101</v>
      </c>
      <c r="J234" s="138" t="s">
        <v>101</v>
      </c>
      <c r="K234" s="213">
        <v>1</v>
      </c>
      <c r="L234" s="230"/>
      <c r="M234" s="143"/>
      <c r="N234" s="143"/>
      <c r="O234" s="143"/>
      <c r="P234" s="143"/>
      <c r="Q234" s="143"/>
      <c r="R234" s="143"/>
      <c r="S234" s="143"/>
      <c r="T234" s="143"/>
      <c r="U234" s="143"/>
      <c r="V234" s="143"/>
      <c r="W234" s="143"/>
      <c r="X234" s="143"/>
      <c r="Y234" s="143"/>
      <c r="Z234" s="143"/>
      <c r="AA234" s="143"/>
      <c r="AB234" s="143"/>
      <c r="AC234" s="143"/>
      <c r="AD234" s="143"/>
    </row>
    <row r="235" spans="1:30" ht="50.1" customHeight="1">
      <c r="A235" s="211" t="s">
        <v>554</v>
      </c>
      <c r="B235" s="138" t="s">
        <v>101</v>
      </c>
      <c r="C235" s="138">
        <v>1</v>
      </c>
      <c r="D235" s="138" t="s">
        <v>101</v>
      </c>
      <c r="E235" s="138" t="s">
        <v>101</v>
      </c>
      <c r="F235" s="138" t="s">
        <v>101</v>
      </c>
      <c r="G235" s="138" t="s">
        <v>101</v>
      </c>
      <c r="H235" s="138" t="s">
        <v>101</v>
      </c>
      <c r="I235" s="138" t="s">
        <v>101</v>
      </c>
      <c r="J235" s="138" t="s">
        <v>101</v>
      </c>
      <c r="K235" s="213">
        <v>1</v>
      </c>
      <c r="L235" s="230"/>
      <c r="M235" s="143"/>
      <c r="N235" s="143"/>
      <c r="O235" s="143"/>
      <c r="P235" s="143"/>
      <c r="Q235" s="143"/>
      <c r="R235" s="143"/>
      <c r="S235" s="143"/>
      <c r="T235" s="143"/>
      <c r="U235" s="143"/>
      <c r="V235" s="143"/>
      <c r="W235" s="143"/>
      <c r="X235" s="143"/>
      <c r="Y235" s="143"/>
      <c r="Z235" s="143"/>
      <c r="AA235" s="143"/>
      <c r="AB235" s="143"/>
      <c r="AC235" s="143"/>
      <c r="AD235" s="143"/>
    </row>
    <row r="236" spans="1:30" ht="50.1" customHeight="1">
      <c r="A236" s="211" t="s">
        <v>260</v>
      </c>
      <c r="B236" s="138" t="s">
        <v>101</v>
      </c>
      <c r="C236" s="138">
        <v>1</v>
      </c>
      <c r="D236" s="138" t="s">
        <v>101</v>
      </c>
      <c r="E236" s="138" t="s">
        <v>101</v>
      </c>
      <c r="F236" s="138" t="s">
        <v>101</v>
      </c>
      <c r="G236" s="138" t="s">
        <v>101</v>
      </c>
      <c r="H236" s="138" t="s">
        <v>101</v>
      </c>
      <c r="I236" s="138" t="s">
        <v>101</v>
      </c>
      <c r="J236" s="138" t="s">
        <v>101</v>
      </c>
      <c r="K236" s="213">
        <v>1</v>
      </c>
      <c r="L236" s="230"/>
      <c r="M236" s="143"/>
      <c r="N236" s="143"/>
      <c r="O236" s="143"/>
      <c r="P236" s="143"/>
      <c r="Q236" s="143"/>
      <c r="R236" s="143"/>
      <c r="S236" s="143"/>
      <c r="T236" s="143"/>
      <c r="U236" s="143"/>
      <c r="V236" s="143"/>
      <c r="W236" s="143"/>
      <c r="X236" s="143"/>
      <c r="Y236" s="143"/>
      <c r="Z236" s="143"/>
      <c r="AA236" s="143"/>
      <c r="AB236" s="143"/>
      <c r="AC236" s="143"/>
      <c r="AD236" s="143"/>
    </row>
    <row r="237" spans="1:30" ht="50.1" customHeight="1">
      <c r="A237" s="211" t="s">
        <v>261</v>
      </c>
      <c r="B237" s="138" t="s">
        <v>101</v>
      </c>
      <c r="C237" s="138">
        <v>1</v>
      </c>
      <c r="D237" s="138" t="s">
        <v>101</v>
      </c>
      <c r="E237" s="138" t="s">
        <v>101</v>
      </c>
      <c r="F237" s="138" t="s">
        <v>101</v>
      </c>
      <c r="G237" s="138" t="s">
        <v>101</v>
      </c>
      <c r="H237" s="138" t="s">
        <v>101</v>
      </c>
      <c r="I237" s="138" t="s">
        <v>101</v>
      </c>
      <c r="J237" s="138" t="s">
        <v>101</v>
      </c>
      <c r="K237" s="213">
        <v>1</v>
      </c>
      <c r="L237" s="230"/>
      <c r="M237" s="143"/>
      <c r="N237" s="143"/>
      <c r="O237" s="143"/>
      <c r="P237" s="143"/>
      <c r="Q237" s="143"/>
      <c r="R237" s="143"/>
      <c r="S237" s="143"/>
      <c r="T237" s="143"/>
      <c r="U237" s="143"/>
      <c r="V237" s="143"/>
      <c r="W237" s="143"/>
      <c r="X237" s="143"/>
      <c r="Y237" s="143"/>
      <c r="Z237" s="143"/>
      <c r="AA237" s="143"/>
      <c r="AB237" s="143"/>
      <c r="AC237" s="143"/>
      <c r="AD237" s="143"/>
    </row>
    <row r="238" spans="1:30" ht="50.1" customHeight="1">
      <c r="A238" s="211" t="s">
        <v>297</v>
      </c>
      <c r="B238" s="138" t="s">
        <v>101</v>
      </c>
      <c r="C238" s="138">
        <v>1</v>
      </c>
      <c r="D238" s="138" t="s">
        <v>101</v>
      </c>
      <c r="E238" s="138" t="s">
        <v>101</v>
      </c>
      <c r="F238" s="138" t="s">
        <v>101</v>
      </c>
      <c r="G238" s="138" t="s">
        <v>101</v>
      </c>
      <c r="H238" s="138" t="s">
        <v>101</v>
      </c>
      <c r="I238" s="138" t="s">
        <v>101</v>
      </c>
      <c r="J238" s="138" t="s">
        <v>101</v>
      </c>
      <c r="K238" s="213">
        <v>1</v>
      </c>
      <c r="L238" s="230"/>
      <c r="M238" s="143"/>
      <c r="N238" s="143"/>
      <c r="O238" s="143"/>
      <c r="P238" s="143"/>
      <c r="Q238" s="143"/>
      <c r="R238" s="143"/>
      <c r="S238" s="143"/>
      <c r="T238" s="143"/>
      <c r="U238" s="143"/>
      <c r="V238" s="143"/>
      <c r="W238" s="143"/>
      <c r="X238" s="143"/>
      <c r="Y238" s="143"/>
      <c r="Z238" s="143"/>
      <c r="AA238" s="143"/>
      <c r="AB238" s="143"/>
      <c r="AC238" s="143"/>
      <c r="AD238" s="143"/>
    </row>
    <row r="239" spans="1:30" ht="50.1" customHeight="1">
      <c r="A239" s="211" t="s">
        <v>262</v>
      </c>
      <c r="B239" s="138">
        <v>3</v>
      </c>
      <c r="C239" s="138" t="s">
        <v>101</v>
      </c>
      <c r="D239" s="138" t="s">
        <v>101</v>
      </c>
      <c r="E239" s="138" t="s">
        <v>101</v>
      </c>
      <c r="F239" s="138">
        <v>2</v>
      </c>
      <c r="G239" s="138" t="s">
        <v>101</v>
      </c>
      <c r="H239" s="138" t="s">
        <v>101</v>
      </c>
      <c r="I239" s="138" t="s">
        <v>101</v>
      </c>
      <c r="J239" s="138" t="s">
        <v>101</v>
      </c>
      <c r="K239" s="213">
        <v>4</v>
      </c>
      <c r="L239" s="230"/>
      <c r="M239" s="143"/>
      <c r="N239" s="143"/>
      <c r="O239" s="143"/>
      <c r="P239" s="143"/>
      <c r="Q239" s="143"/>
      <c r="R239" s="143"/>
      <c r="S239" s="143"/>
      <c r="T239" s="143"/>
      <c r="U239" s="143"/>
      <c r="V239" s="143"/>
      <c r="W239" s="143"/>
      <c r="X239" s="143"/>
      <c r="Y239" s="143"/>
      <c r="Z239" s="143"/>
      <c r="AA239" s="143"/>
      <c r="AB239" s="143"/>
      <c r="AC239" s="143"/>
      <c r="AD239" s="143"/>
    </row>
    <row r="240" spans="1:30" ht="50.1" customHeight="1">
      <c r="A240" s="211" t="s">
        <v>263</v>
      </c>
      <c r="B240" s="138">
        <v>1</v>
      </c>
      <c r="C240" s="138">
        <v>3</v>
      </c>
      <c r="D240" s="138" t="s">
        <v>101</v>
      </c>
      <c r="E240" s="138" t="s">
        <v>101</v>
      </c>
      <c r="F240" s="138" t="s">
        <v>101</v>
      </c>
      <c r="G240" s="138" t="s">
        <v>101</v>
      </c>
      <c r="H240" s="138" t="s">
        <v>101</v>
      </c>
      <c r="I240" s="138" t="s">
        <v>101</v>
      </c>
      <c r="J240" s="138" t="s">
        <v>101</v>
      </c>
      <c r="K240" s="213">
        <v>4</v>
      </c>
      <c r="L240" s="230"/>
      <c r="M240" s="143"/>
      <c r="N240" s="143"/>
      <c r="O240" s="143"/>
      <c r="P240" s="143"/>
      <c r="Q240" s="143"/>
      <c r="R240" s="143"/>
      <c r="S240" s="143"/>
      <c r="T240" s="143"/>
      <c r="U240" s="143"/>
      <c r="V240" s="143"/>
      <c r="W240" s="143"/>
      <c r="X240" s="143"/>
      <c r="Y240" s="143"/>
      <c r="Z240" s="143"/>
      <c r="AA240" s="143"/>
      <c r="AB240" s="143"/>
      <c r="AC240" s="143"/>
      <c r="AD240" s="143"/>
    </row>
    <row r="241" spans="1:30" ht="50.1" customHeight="1">
      <c r="A241" s="211" t="s">
        <v>264</v>
      </c>
      <c r="B241" s="138"/>
      <c r="C241" s="138">
        <v>1</v>
      </c>
      <c r="D241" s="138" t="s">
        <v>101</v>
      </c>
      <c r="E241" s="138" t="s">
        <v>101</v>
      </c>
      <c r="F241" s="138" t="s">
        <v>101</v>
      </c>
      <c r="G241" s="138" t="s">
        <v>101</v>
      </c>
      <c r="H241" s="138" t="s">
        <v>101</v>
      </c>
      <c r="I241" s="138" t="s">
        <v>101</v>
      </c>
      <c r="J241" s="138" t="s">
        <v>101</v>
      </c>
      <c r="K241" s="213">
        <v>1</v>
      </c>
      <c r="L241" s="230"/>
      <c r="M241" s="143"/>
      <c r="N241" s="143"/>
      <c r="O241" s="143"/>
      <c r="P241" s="143"/>
      <c r="Q241" s="143"/>
      <c r="R241" s="143"/>
      <c r="S241" s="143"/>
      <c r="T241" s="143"/>
      <c r="U241" s="143"/>
      <c r="V241" s="143"/>
      <c r="W241" s="143"/>
      <c r="X241" s="143"/>
      <c r="Y241" s="143"/>
      <c r="Z241" s="143"/>
      <c r="AA241" s="143"/>
      <c r="AB241" s="143"/>
      <c r="AC241" s="143"/>
      <c r="AD241" s="143"/>
    </row>
    <row r="242" spans="1:30" ht="50.1" customHeight="1">
      <c r="A242" s="211" t="s">
        <v>265</v>
      </c>
      <c r="B242" s="138" t="s">
        <v>101</v>
      </c>
      <c r="C242" s="138">
        <v>1</v>
      </c>
      <c r="D242" s="138" t="s">
        <v>101</v>
      </c>
      <c r="E242" s="138" t="s">
        <v>101</v>
      </c>
      <c r="F242" s="138" t="s">
        <v>101</v>
      </c>
      <c r="G242" s="138" t="s">
        <v>101</v>
      </c>
      <c r="H242" s="138" t="s">
        <v>101</v>
      </c>
      <c r="I242" s="138" t="s">
        <v>101</v>
      </c>
      <c r="J242" s="138" t="s">
        <v>101</v>
      </c>
      <c r="K242" s="213">
        <v>1</v>
      </c>
      <c r="L242" s="230"/>
      <c r="M242" s="143"/>
      <c r="N242" s="143"/>
      <c r="O242" s="143"/>
      <c r="P242" s="143"/>
      <c r="Q242" s="143"/>
      <c r="R242" s="143"/>
      <c r="S242" s="143"/>
      <c r="T242" s="143"/>
      <c r="U242" s="143"/>
      <c r="V242" s="143"/>
      <c r="W242" s="143"/>
      <c r="X242" s="143"/>
      <c r="Y242" s="143"/>
      <c r="Z242" s="143"/>
      <c r="AA242" s="143"/>
      <c r="AB242" s="143"/>
      <c r="AC242" s="143"/>
      <c r="AD242" s="143"/>
    </row>
    <row r="243" spans="1:30" ht="50.1" customHeight="1">
      <c r="A243" s="211" t="s">
        <v>266</v>
      </c>
      <c r="B243" s="138">
        <v>5</v>
      </c>
      <c r="C243" s="138">
        <v>4</v>
      </c>
      <c r="D243" s="138" t="s">
        <v>101</v>
      </c>
      <c r="E243" s="138" t="s">
        <v>101</v>
      </c>
      <c r="F243" s="138" t="s">
        <v>101</v>
      </c>
      <c r="G243" s="138" t="s">
        <v>101</v>
      </c>
      <c r="H243" s="138" t="s">
        <v>101</v>
      </c>
      <c r="I243" s="138">
        <v>1</v>
      </c>
      <c r="J243" s="138" t="s">
        <v>101</v>
      </c>
      <c r="K243" s="213">
        <v>10</v>
      </c>
      <c r="L243" s="230"/>
      <c r="M243" s="143"/>
      <c r="N243" s="143"/>
      <c r="O243" s="143"/>
      <c r="P243" s="143"/>
      <c r="Q243" s="143"/>
      <c r="R243" s="143"/>
      <c r="S243" s="143"/>
      <c r="T243" s="143"/>
      <c r="U243" s="143"/>
      <c r="V243" s="143"/>
      <c r="W243" s="143"/>
      <c r="X243" s="143"/>
      <c r="Y243" s="143"/>
      <c r="Z243" s="143"/>
      <c r="AA243" s="143"/>
      <c r="AB243" s="143"/>
      <c r="AC243" s="143"/>
      <c r="AD243" s="143"/>
    </row>
    <row r="244" spans="1:30" ht="50.1" customHeight="1">
      <c r="A244" s="211" t="s">
        <v>267</v>
      </c>
      <c r="B244" s="138" t="s">
        <v>101</v>
      </c>
      <c r="C244" s="138">
        <v>1</v>
      </c>
      <c r="D244" s="138" t="s">
        <v>101</v>
      </c>
      <c r="E244" s="138" t="s">
        <v>101</v>
      </c>
      <c r="F244" s="138" t="s">
        <v>101</v>
      </c>
      <c r="G244" s="138" t="s">
        <v>101</v>
      </c>
      <c r="H244" s="138" t="s">
        <v>101</v>
      </c>
      <c r="I244" s="138" t="s">
        <v>101</v>
      </c>
      <c r="J244" s="138" t="s">
        <v>101</v>
      </c>
      <c r="K244" s="213">
        <v>1</v>
      </c>
      <c r="L244" s="230"/>
      <c r="M244" s="143"/>
      <c r="N244" s="143"/>
      <c r="O244" s="143"/>
      <c r="P244" s="143"/>
      <c r="Q244" s="143"/>
      <c r="R244" s="143"/>
      <c r="S244" s="143"/>
      <c r="T244" s="143"/>
      <c r="U244" s="143"/>
      <c r="V244" s="143"/>
      <c r="W244" s="143"/>
      <c r="X244" s="143"/>
      <c r="Y244" s="143"/>
      <c r="Z244" s="143"/>
      <c r="AA244" s="143"/>
      <c r="AB244" s="143"/>
      <c r="AC244" s="143"/>
      <c r="AD244" s="143"/>
    </row>
    <row r="245" spans="1:30" ht="50.1" customHeight="1">
      <c r="A245" s="211" t="s">
        <v>268</v>
      </c>
      <c r="B245" s="138">
        <v>3</v>
      </c>
      <c r="C245" s="138">
        <v>3</v>
      </c>
      <c r="D245" s="138" t="s">
        <v>101</v>
      </c>
      <c r="E245" s="138" t="s">
        <v>101</v>
      </c>
      <c r="F245" s="138" t="s">
        <v>101</v>
      </c>
      <c r="G245" s="138" t="s">
        <v>101</v>
      </c>
      <c r="H245" s="138">
        <v>1</v>
      </c>
      <c r="I245" s="138" t="s">
        <v>101</v>
      </c>
      <c r="J245" s="138" t="s">
        <v>101</v>
      </c>
      <c r="K245" s="213">
        <v>7</v>
      </c>
      <c r="L245" s="230"/>
      <c r="M245" s="143"/>
      <c r="N245" s="143"/>
      <c r="O245" s="143"/>
      <c r="P245" s="143"/>
      <c r="Q245" s="143"/>
      <c r="R245" s="143"/>
      <c r="S245" s="143"/>
      <c r="T245" s="143"/>
      <c r="U245" s="143"/>
      <c r="V245" s="143"/>
      <c r="W245" s="143"/>
      <c r="X245" s="143"/>
      <c r="Y245" s="143"/>
      <c r="Z245" s="143"/>
      <c r="AA245" s="143"/>
      <c r="AB245" s="143"/>
      <c r="AC245" s="143"/>
      <c r="AD245" s="143"/>
    </row>
    <row r="246" spans="1:30" ht="50.1" customHeight="1">
      <c r="A246" s="211" t="s">
        <v>269</v>
      </c>
      <c r="B246" s="138">
        <v>1</v>
      </c>
      <c r="C246" s="138">
        <v>1</v>
      </c>
      <c r="D246" s="138" t="s">
        <v>101</v>
      </c>
      <c r="E246" s="138" t="s">
        <v>101</v>
      </c>
      <c r="F246" s="138">
        <v>1</v>
      </c>
      <c r="G246" s="138" t="s">
        <v>101</v>
      </c>
      <c r="H246" s="138" t="s">
        <v>101</v>
      </c>
      <c r="I246" s="138" t="s">
        <v>101</v>
      </c>
      <c r="J246" s="138" t="s">
        <v>101</v>
      </c>
      <c r="K246" s="213">
        <v>3</v>
      </c>
      <c r="L246" s="230"/>
      <c r="M246" s="143"/>
      <c r="N246" s="143"/>
      <c r="O246" s="143"/>
      <c r="P246" s="143"/>
      <c r="Q246" s="143"/>
      <c r="R246" s="143"/>
      <c r="S246" s="143"/>
      <c r="T246" s="143"/>
      <c r="U246" s="143"/>
      <c r="V246" s="143"/>
      <c r="W246" s="143"/>
      <c r="X246" s="143"/>
      <c r="Y246" s="143"/>
      <c r="Z246" s="143"/>
      <c r="AA246" s="143"/>
      <c r="AB246" s="143"/>
      <c r="AC246" s="143"/>
      <c r="AD246" s="143"/>
    </row>
    <row r="247" spans="1:30" ht="50.1" customHeight="1">
      <c r="A247" s="211" t="s">
        <v>270</v>
      </c>
      <c r="B247" s="138" t="s">
        <v>101</v>
      </c>
      <c r="C247" s="138">
        <v>1</v>
      </c>
      <c r="D247" s="138" t="s">
        <v>101</v>
      </c>
      <c r="E247" s="138" t="s">
        <v>101</v>
      </c>
      <c r="F247" s="138" t="s">
        <v>101</v>
      </c>
      <c r="G247" s="138" t="s">
        <v>101</v>
      </c>
      <c r="H247" s="138" t="s">
        <v>101</v>
      </c>
      <c r="I247" s="138" t="s">
        <v>101</v>
      </c>
      <c r="J247" s="138" t="s">
        <v>101</v>
      </c>
      <c r="K247" s="213">
        <v>1</v>
      </c>
      <c r="L247" s="230"/>
      <c r="M247" s="143"/>
      <c r="N247" s="143"/>
      <c r="O247" s="143"/>
      <c r="P247" s="143"/>
      <c r="Q247" s="143"/>
      <c r="R247" s="143"/>
      <c r="S247" s="143"/>
      <c r="T247" s="143"/>
      <c r="U247" s="143"/>
      <c r="V247" s="143"/>
      <c r="W247" s="143"/>
      <c r="X247" s="143"/>
      <c r="Y247" s="143"/>
      <c r="Z247" s="143"/>
      <c r="AA247" s="143"/>
      <c r="AB247" s="143"/>
      <c r="AC247" s="143"/>
      <c r="AD247" s="143"/>
    </row>
    <row r="248" spans="1:30" ht="50.1" customHeight="1">
      <c r="A248" s="211" t="s">
        <v>271</v>
      </c>
      <c r="B248" s="138" t="s">
        <v>101</v>
      </c>
      <c r="C248" s="138">
        <v>4</v>
      </c>
      <c r="D248" s="138" t="s">
        <v>101</v>
      </c>
      <c r="E248" s="138" t="s">
        <v>101</v>
      </c>
      <c r="F248" s="138" t="s">
        <v>101</v>
      </c>
      <c r="G248" s="138" t="s">
        <v>101</v>
      </c>
      <c r="H248" s="138" t="s">
        <v>101</v>
      </c>
      <c r="I248" s="138" t="s">
        <v>101</v>
      </c>
      <c r="J248" s="138" t="s">
        <v>101</v>
      </c>
      <c r="K248" s="213">
        <v>4</v>
      </c>
      <c r="L248" s="230"/>
      <c r="M248" s="143"/>
      <c r="N248" s="143"/>
      <c r="O248" s="143"/>
      <c r="P248" s="143"/>
      <c r="Q248" s="143"/>
      <c r="R248" s="143"/>
      <c r="S248" s="143"/>
      <c r="T248" s="143"/>
      <c r="U248" s="143"/>
      <c r="V248" s="143"/>
      <c r="W248" s="143"/>
      <c r="X248" s="143"/>
      <c r="Y248" s="143"/>
      <c r="Z248" s="143"/>
      <c r="AA248" s="143"/>
      <c r="AB248" s="143"/>
      <c r="AC248" s="143"/>
      <c r="AD248" s="143"/>
    </row>
    <row r="249" spans="1:30" ht="50.1" customHeight="1">
      <c r="A249" s="211" t="s">
        <v>272</v>
      </c>
      <c r="B249" s="138">
        <v>1</v>
      </c>
      <c r="C249" s="138" t="s">
        <v>101</v>
      </c>
      <c r="D249" s="138" t="s">
        <v>101</v>
      </c>
      <c r="E249" s="138" t="s">
        <v>101</v>
      </c>
      <c r="F249" s="138" t="s">
        <v>101</v>
      </c>
      <c r="G249" s="138" t="s">
        <v>101</v>
      </c>
      <c r="H249" s="138" t="s">
        <v>101</v>
      </c>
      <c r="I249" s="138" t="s">
        <v>101</v>
      </c>
      <c r="J249" s="138" t="s">
        <v>101</v>
      </c>
      <c r="K249" s="213">
        <v>1</v>
      </c>
      <c r="L249" s="230"/>
      <c r="M249" s="143"/>
      <c r="N249" s="143"/>
      <c r="O249" s="143"/>
      <c r="P249" s="143"/>
      <c r="Q249" s="143"/>
      <c r="R249" s="143"/>
      <c r="S249" s="143"/>
      <c r="T249" s="143"/>
      <c r="U249" s="143"/>
      <c r="V249" s="143"/>
      <c r="W249" s="143"/>
      <c r="X249" s="143"/>
      <c r="Y249" s="143"/>
      <c r="Z249" s="143"/>
      <c r="AA249" s="143"/>
      <c r="AB249" s="143"/>
      <c r="AC249" s="143"/>
      <c r="AD249" s="143"/>
    </row>
    <row r="250" spans="1:30" ht="50.1" customHeight="1">
      <c r="A250" s="211" t="s">
        <v>273</v>
      </c>
      <c r="B250" s="138" t="s">
        <v>101</v>
      </c>
      <c r="C250" s="138">
        <v>1</v>
      </c>
      <c r="D250" s="138" t="s">
        <v>101</v>
      </c>
      <c r="E250" s="138" t="s">
        <v>101</v>
      </c>
      <c r="F250" s="138" t="s">
        <v>101</v>
      </c>
      <c r="G250" s="138" t="s">
        <v>101</v>
      </c>
      <c r="H250" s="138" t="s">
        <v>101</v>
      </c>
      <c r="I250" s="138" t="s">
        <v>101</v>
      </c>
      <c r="J250" s="138" t="s">
        <v>101</v>
      </c>
      <c r="K250" s="213">
        <v>1</v>
      </c>
      <c r="L250" s="230"/>
      <c r="M250" s="143"/>
      <c r="N250" s="143"/>
      <c r="O250" s="143"/>
      <c r="P250" s="143"/>
      <c r="Q250" s="143"/>
      <c r="R250" s="143"/>
      <c r="S250" s="143"/>
      <c r="T250" s="143"/>
      <c r="U250" s="143"/>
      <c r="V250" s="143"/>
      <c r="W250" s="143"/>
      <c r="X250" s="143"/>
      <c r="Y250" s="143"/>
      <c r="Z250" s="143"/>
      <c r="AA250" s="143"/>
      <c r="AB250" s="143"/>
      <c r="AC250" s="143"/>
      <c r="AD250" s="143"/>
    </row>
    <row r="251" spans="1:30" ht="50.1" customHeight="1">
      <c r="A251" s="211" t="s">
        <v>274</v>
      </c>
      <c r="B251" s="138" t="s">
        <v>101</v>
      </c>
      <c r="C251" s="138">
        <v>1</v>
      </c>
      <c r="D251" s="138" t="s">
        <v>101</v>
      </c>
      <c r="E251" s="138" t="s">
        <v>101</v>
      </c>
      <c r="F251" s="138" t="s">
        <v>101</v>
      </c>
      <c r="G251" s="138" t="s">
        <v>101</v>
      </c>
      <c r="H251" s="138" t="s">
        <v>101</v>
      </c>
      <c r="I251" s="138" t="s">
        <v>101</v>
      </c>
      <c r="J251" s="138" t="s">
        <v>101</v>
      </c>
      <c r="K251" s="213">
        <v>1</v>
      </c>
      <c r="L251" s="230"/>
      <c r="M251" s="143"/>
      <c r="N251" s="143"/>
      <c r="O251" s="143"/>
      <c r="P251" s="143"/>
      <c r="Q251" s="143"/>
      <c r="R251" s="143"/>
      <c r="S251" s="143"/>
      <c r="T251" s="143"/>
      <c r="U251" s="143"/>
      <c r="V251" s="143"/>
      <c r="W251" s="143"/>
      <c r="X251" s="143"/>
      <c r="Y251" s="143"/>
      <c r="Z251" s="143"/>
      <c r="AA251" s="143"/>
      <c r="AB251" s="143"/>
      <c r="AC251" s="143"/>
      <c r="AD251" s="143"/>
    </row>
    <row r="252" spans="1:30" ht="50.1" customHeight="1">
      <c r="A252" s="211" t="s">
        <v>275</v>
      </c>
      <c r="B252" s="138">
        <v>1</v>
      </c>
      <c r="C252" s="138" t="s">
        <v>101</v>
      </c>
      <c r="D252" s="138" t="s">
        <v>101</v>
      </c>
      <c r="E252" s="138" t="s">
        <v>101</v>
      </c>
      <c r="F252" s="138" t="s">
        <v>101</v>
      </c>
      <c r="G252" s="138" t="s">
        <v>101</v>
      </c>
      <c r="H252" s="138" t="s">
        <v>101</v>
      </c>
      <c r="I252" s="138" t="s">
        <v>101</v>
      </c>
      <c r="J252" s="138" t="s">
        <v>101</v>
      </c>
      <c r="K252" s="213">
        <v>1</v>
      </c>
      <c r="L252" s="230"/>
      <c r="M252" s="143"/>
      <c r="N252" s="143"/>
      <c r="O252" s="143"/>
      <c r="P252" s="143"/>
      <c r="Q252" s="143"/>
      <c r="R252" s="143"/>
      <c r="S252" s="143"/>
      <c r="T252" s="143"/>
      <c r="U252" s="143"/>
      <c r="V252" s="143"/>
      <c r="W252" s="143"/>
      <c r="X252" s="143"/>
      <c r="Y252" s="143"/>
      <c r="Z252" s="143"/>
      <c r="AA252" s="143"/>
      <c r="AB252" s="143"/>
      <c r="AC252" s="143"/>
      <c r="AD252" s="143"/>
    </row>
    <row r="253" spans="1:30" ht="50.1" customHeight="1">
      <c r="A253" s="211" t="s">
        <v>276</v>
      </c>
      <c r="B253" s="138" t="s">
        <v>101</v>
      </c>
      <c r="C253" s="138">
        <v>1</v>
      </c>
      <c r="D253" s="138" t="s">
        <v>101</v>
      </c>
      <c r="E253" s="138" t="s">
        <v>101</v>
      </c>
      <c r="F253" s="138" t="s">
        <v>101</v>
      </c>
      <c r="G253" s="138" t="s">
        <v>101</v>
      </c>
      <c r="H253" s="138" t="s">
        <v>101</v>
      </c>
      <c r="I253" s="138" t="s">
        <v>101</v>
      </c>
      <c r="J253" s="138" t="s">
        <v>101</v>
      </c>
      <c r="K253" s="213">
        <v>1</v>
      </c>
      <c r="L253" s="230"/>
      <c r="M253" s="143"/>
      <c r="N253" s="143"/>
      <c r="O253" s="143"/>
      <c r="P253" s="143"/>
      <c r="Q253" s="143"/>
      <c r="R253" s="143"/>
      <c r="S253" s="143"/>
      <c r="T253" s="143"/>
      <c r="U253" s="143"/>
      <c r="V253" s="143"/>
      <c r="W253" s="143"/>
      <c r="X253" s="143"/>
      <c r="Y253" s="143"/>
      <c r="Z253" s="143"/>
      <c r="AA253" s="143"/>
      <c r="AB253" s="143"/>
      <c r="AC253" s="143"/>
      <c r="AD253" s="143"/>
    </row>
    <row r="254" spans="1:30" ht="50.1" customHeight="1">
      <c r="A254" s="211" t="s">
        <v>304</v>
      </c>
      <c r="B254" s="138" t="s">
        <v>101</v>
      </c>
      <c r="C254" s="138">
        <v>1</v>
      </c>
      <c r="D254" s="138" t="s">
        <v>101</v>
      </c>
      <c r="E254" s="138" t="s">
        <v>101</v>
      </c>
      <c r="F254" s="138">
        <v>1</v>
      </c>
      <c r="G254" s="138" t="s">
        <v>101</v>
      </c>
      <c r="H254" s="138" t="s">
        <v>101</v>
      </c>
      <c r="I254" s="138" t="s">
        <v>101</v>
      </c>
      <c r="J254" s="138" t="s">
        <v>101</v>
      </c>
      <c r="K254" s="213">
        <v>2</v>
      </c>
      <c r="L254" s="230"/>
      <c r="M254" s="143"/>
      <c r="N254" s="143"/>
      <c r="O254" s="143"/>
      <c r="P254" s="143"/>
      <c r="Q254" s="143"/>
      <c r="R254" s="143"/>
      <c r="S254" s="143"/>
      <c r="T254" s="143"/>
      <c r="U254" s="143"/>
      <c r="V254" s="143"/>
      <c r="W254" s="143"/>
      <c r="X254" s="143"/>
      <c r="Y254" s="143"/>
      <c r="Z254" s="143"/>
      <c r="AA254" s="143"/>
      <c r="AB254" s="143"/>
      <c r="AC254" s="143"/>
      <c r="AD254" s="143"/>
    </row>
    <row r="255" spans="1:30" ht="50.1" customHeight="1">
      <c r="A255" s="211" t="s">
        <v>277</v>
      </c>
      <c r="B255" s="138">
        <v>1</v>
      </c>
      <c r="C255" s="138" t="s">
        <v>101</v>
      </c>
      <c r="D255" s="138">
        <v>1</v>
      </c>
      <c r="E255" s="138" t="s">
        <v>101</v>
      </c>
      <c r="F255" s="138" t="s">
        <v>101</v>
      </c>
      <c r="G255" s="138" t="s">
        <v>101</v>
      </c>
      <c r="H255" s="138" t="s">
        <v>101</v>
      </c>
      <c r="I255" s="138" t="s">
        <v>101</v>
      </c>
      <c r="J255" s="138" t="s">
        <v>101</v>
      </c>
      <c r="K255" s="213">
        <v>1</v>
      </c>
      <c r="L255" s="230"/>
      <c r="M255" s="143"/>
      <c r="N255" s="143"/>
      <c r="O255" s="143"/>
      <c r="P255" s="143"/>
      <c r="Q255" s="143"/>
      <c r="R255" s="143"/>
      <c r="S255" s="143"/>
      <c r="T255" s="143"/>
      <c r="U255" s="143"/>
      <c r="V255" s="143"/>
      <c r="W255" s="143"/>
      <c r="X255" s="143"/>
      <c r="Y255" s="143"/>
      <c r="Z255" s="143"/>
      <c r="AA255" s="143"/>
      <c r="AB255" s="143"/>
      <c r="AC255" s="143"/>
      <c r="AD255" s="143"/>
    </row>
    <row r="256" spans="1:30" ht="50.1" customHeight="1">
      <c r="A256" s="211" t="s">
        <v>278</v>
      </c>
      <c r="B256" s="138" t="s">
        <v>101</v>
      </c>
      <c r="C256" s="138">
        <v>1</v>
      </c>
      <c r="D256" s="138" t="s">
        <v>101</v>
      </c>
      <c r="E256" s="138" t="s">
        <v>101</v>
      </c>
      <c r="F256" s="138" t="s">
        <v>101</v>
      </c>
      <c r="G256" s="138" t="s">
        <v>101</v>
      </c>
      <c r="H256" s="138" t="s">
        <v>101</v>
      </c>
      <c r="I256" s="138" t="s">
        <v>101</v>
      </c>
      <c r="J256" s="138" t="s">
        <v>101</v>
      </c>
      <c r="K256" s="213">
        <v>1</v>
      </c>
      <c r="L256" s="230"/>
      <c r="M256" s="143"/>
      <c r="N256" s="143"/>
      <c r="O256" s="143"/>
      <c r="P256" s="143"/>
      <c r="Q256" s="143"/>
      <c r="R256" s="143"/>
      <c r="S256" s="143"/>
      <c r="T256" s="143"/>
      <c r="U256" s="143"/>
      <c r="V256" s="143"/>
      <c r="W256" s="143"/>
      <c r="X256" s="143"/>
      <c r="Y256" s="143"/>
      <c r="Z256" s="143"/>
      <c r="AA256" s="143"/>
      <c r="AB256" s="143"/>
      <c r="AC256" s="143"/>
      <c r="AD256" s="143"/>
    </row>
    <row r="257" spans="1:30" ht="50.1" customHeight="1">
      <c r="A257" s="211" t="s">
        <v>279</v>
      </c>
      <c r="B257" s="138" t="s">
        <v>101</v>
      </c>
      <c r="C257" s="138">
        <v>1</v>
      </c>
      <c r="D257" s="138" t="s">
        <v>101</v>
      </c>
      <c r="E257" s="138" t="s">
        <v>101</v>
      </c>
      <c r="F257" s="138" t="s">
        <v>101</v>
      </c>
      <c r="G257" s="138" t="s">
        <v>101</v>
      </c>
      <c r="H257" s="138" t="s">
        <v>101</v>
      </c>
      <c r="I257" s="138" t="s">
        <v>101</v>
      </c>
      <c r="J257" s="138" t="s">
        <v>101</v>
      </c>
      <c r="K257" s="213">
        <v>1</v>
      </c>
      <c r="L257" s="230"/>
      <c r="M257" s="143"/>
      <c r="N257" s="143"/>
      <c r="O257" s="143"/>
      <c r="P257" s="143"/>
      <c r="Q257" s="143"/>
      <c r="R257" s="143"/>
      <c r="S257" s="143"/>
      <c r="T257" s="143"/>
      <c r="U257" s="143"/>
      <c r="V257" s="143"/>
      <c r="W257" s="143"/>
      <c r="X257" s="143"/>
      <c r="Y257" s="143"/>
      <c r="Z257" s="143"/>
      <c r="AA257" s="143"/>
      <c r="AB257" s="143"/>
      <c r="AC257" s="143"/>
      <c r="AD257" s="143"/>
    </row>
    <row r="258" spans="1:30" ht="50.1" customHeight="1">
      <c r="A258" s="211" t="s">
        <v>280</v>
      </c>
      <c r="B258" s="138">
        <v>2</v>
      </c>
      <c r="C258" s="138">
        <v>7</v>
      </c>
      <c r="D258" s="138" t="s">
        <v>101</v>
      </c>
      <c r="E258" s="138" t="s">
        <v>101</v>
      </c>
      <c r="F258" s="138" t="s">
        <v>101</v>
      </c>
      <c r="G258" s="138" t="s">
        <v>101</v>
      </c>
      <c r="H258" s="138" t="s">
        <v>101</v>
      </c>
      <c r="I258" s="138" t="s">
        <v>101</v>
      </c>
      <c r="J258" s="138" t="s">
        <v>101</v>
      </c>
      <c r="K258" s="213">
        <v>9</v>
      </c>
      <c r="L258" s="230"/>
      <c r="M258" s="143"/>
      <c r="N258" s="143"/>
      <c r="O258" s="143"/>
      <c r="P258" s="143"/>
      <c r="Q258" s="143"/>
      <c r="R258" s="143"/>
      <c r="S258" s="143"/>
      <c r="T258" s="143"/>
      <c r="U258" s="143"/>
      <c r="V258" s="143"/>
      <c r="W258" s="143"/>
      <c r="X258" s="143"/>
      <c r="Y258" s="143"/>
      <c r="Z258" s="143"/>
      <c r="AA258" s="143"/>
      <c r="AB258" s="143"/>
      <c r="AC258" s="143"/>
      <c r="AD258" s="143"/>
    </row>
    <row r="259" spans="1:30" ht="50.1" customHeight="1">
      <c r="A259" s="211" t="s">
        <v>281</v>
      </c>
      <c r="B259" s="138">
        <v>1</v>
      </c>
      <c r="C259" s="138">
        <v>1</v>
      </c>
      <c r="D259" s="138" t="s">
        <v>101</v>
      </c>
      <c r="E259" s="138" t="s">
        <v>101</v>
      </c>
      <c r="F259" s="138" t="s">
        <v>101</v>
      </c>
      <c r="G259" s="138" t="s">
        <v>101</v>
      </c>
      <c r="H259" s="138" t="s">
        <v>101</v>
      </c>
      <c r="I259" s="138" t="s">
        <v>101</v>
      </c>
      <c r="J259" s="138" t="s">
        <v>101</v>
      </c>
      <c r="K259" s="213">
        <v>2</v>
      </c>
      <c r="L259" s="230"/>
      <c r="M259" s="143"/>
      <c r="N259" s="143"/>
      <c r="O259" s="143"/>
      <c r="P259" s="143"/>
      <c r="Q259" s="143"/>
      <c r="R259" s="143"/>
      <c r="S259" s="143"/>
      <c r="T259" s="143"/>
      <c r="U259" s="143"/>
      <c r="V259" s="143"/>
      <c r="W259" s="143"/>
      <c r="X259" s="143"/>
      <c r="Y259" s="143"/>
      <c r="Z259" s="143"/>
      <c r="AA259" s="143"/>
      <c r="AB259" s="143"/>
      <c r="AC259" s="143"/>
      <c r="AD259" s="143"/>
    </row>
    <row r="260" spans="1:30" ht="50.1" customHeight="1">
      <c r="A260" s="211" t="s">
        <v>282</v>
      </c>
      <c r="B260" s="138" t="s">
        <v>101</v>
      </c>
      <c r="C260" s="138">
        <v>1</v>
      </c>
      <c r="D260" s="138" t="s">
        <v>101</v>
      </c>
      <c r="E260" s="138" t="s">
        <v>101</v>
      </c>
      <c r="F260" s="138" t="s">
        <v>101</v>
      </c>
      <c r="G260" s="138" t="s">
        <v>101</v>
      </c>
      <c r="H260" s="138" t="s">
        <v>101</v>
      </c>
      <c r="I260" s="138" t="s">
        <v>101</v>
      </c>
      <c r="J260" s="138" t="s">
        <v>101</v>
      </c>
      <c r="K260" s="213">
        <v>1</v>
      </c>
      <c r="L260" s="230"/>
      <c r="M260" s="143"/>
      <c r="N260" s="143"/>
      <c r="O260" s="143"/>
      <c r="P260" s="143"/>
      <c r="Q260" s="143"/>
      <c r="R260" s="143"/>
      <c r="S260" s="143"/>
      <c r="T260" s="143"/>
      <c r="U260" s="143"/>
      <c r="V260" s="143"/>
      <c r="W260" s="143"/>
      <c r="X260" s="143"/>
      <c r="Y260" s="143"/>
      <c r="Z260" s="143"/>
      <c r="AA260" s="143"/>
      <c r="AB260" s="143"/>
      <c r="AC260" s="143"/>
      <c r="AD260" s="143"/>
    </row>
    <row r="261" spans="1:30" ht="50.1" customHeight="1">
      <c r="A261" s="211" t="s">
        <v>283</v>
      </c>
      <c r="B261" s="138" t="s">
        <v>101</v>
      </c>
      <c r="C261" s="138">
        <v>1</v>
      </c>
      <c r="D261" s="138" t="s">
        <v>101</v>
      </c>
      <c r="E261" s="138" t="s">
        <v>101</v>
      </c>
      <c r="F261" s="138" t="s">
        <v>101</v>
      </c>
      <c r="G261" s="138" t="s">
        <v>101</v>
      </c>
      <c r="H261" s="138" t="s">
        <v>101</v>
      </c>
      <c r="I261" s="138" t="s">
        <v>101</v>
      </c>
      <c r="J261" s="138" t="s">
        <v>101</v>
      </c>
      <c r="K261" s="213">
        <v>1</v>
      </c>
      <c r="L261" s="230"/>
      <c r="M261" s="143"/>
      <c r="N261" s="143"/>
      <c r="O261" s="143"/>
      <c r="P261" s="143"/>
      <c r="Q261" s="143"/>
      <c r="R261" s="143"/>
      <c r="S261" s="143"/>
      <c r="T261" s="143"/>
      <c r="U261" s="143"/>
      <c r="V261" s="143"/>
      <c r="W261" s="143"/>
      <c r="X261" s="143"/>
      <c r="Y261" s="143"/>
      <c r="Z261" s="143"/>
      <c r="AA261" s="143"/>
      <c r="AB261" s="143"/>
      <c r="AC261" s="143"/>
      <c r="AD261" s="143"/>
    </row>
    <row r="262" spans="1:30" ht="50.1" customHeight="1">
      <c r="A262" s="211" t="s">
        <v>284</v>
      </c>
      <c r="B262" s="138">
        <v>2</v>
      </c>
      <c r="C262" s="138">
        <v>1</v>
      </c>
      <c r="D262" s="138" t="s">
        <v>101</v>
      </c>
      <c r="E262" s="138" t="s">
        <v>101</v>
      </c>
      <c r="F262" s="138" t="s">
        <v>101</v>
      </c>
      <c r="G262" s="138" t="s">
        <v>101</v>
      </c>
      <c r="H262" s="138" t="s">
        <v>101</v>
      </c>
      <c r="I262" s="138" t="s">
        <v>101</v>
      </c>
      <c r="J262" s="138" t="s">
        <v>101</v>
      </c>
      <c r="K262" s="213">
        <v>3</v>
      </c>
      <c r="L262" s="230"/>
      <c r="M262" s="143"/>
      <c r="N262" s="143"/>
      <c r="O262" s="143"/>
      <c r="P262" s="143"/>
      <c r="Q262" s="143"/>
      <c r="R262" s="143"/>
      <c r="S262" s="143"/>
      <c r="T262" s="143"/>
      <c r="U262" s="143"/>
      <c r="V262" s="143"/>
      <c r="W262" s="143"/>
      <c r="X262" s="143"/>
      <c r="Y262" s="143"/>
      <c r="Z262" s="143"/>
      <c r="AA262" s="143"/>
      <c r="AB262" s="143"/>
      <c r="AC262" s="143"/>
      <c r="AD262" s="143"/>
    </row>
    <row r="263" spans="1:30" ht="50.1" customHeight="1">
      <c r="A263" s="211" t="s">
        <v>301</v>
      </c>
      <c r="B263" s="138">
        <v>2</v>
      </c>
      <c r="C263" s="138">
        <v>2</v>
      </c>
      <c r="D263" s="138" t="s">
        <v>101</v>
      </c>
      <c r="E263" s="138" t="s">
        <v>101</v>
      </c>
      <c r="F263" s="138" t="s">
        <v>101</v>
      </c>
      <c r="G263" s="138" t="s">
        <v>101</v>
      </c>
      <c r="H263" s="138" t="s">
        <v>101</v>
      </c>
      <c r="I263" s="138" t="s">
        <v>101</v>
      </c>
      <c r="J263" s="138" t="s">
        <v>101</v>
      </c>
      <c r="K263" s="213">
        <v>4</v>
      </c>
      <c r="L263" s="230"/>
      <c r="M263" s="143"/>
      <c r="N263" s="143"/>
      <c r="O263" s="143"/>
      <c r="P263" s="143"/>
      <c r="Q263" s="143"/>
      <c r="R263" s="143"/>
      <c r="S263" s="143"/>
      <c r="T263" s="143"/>
      <c r="U263" s="143"/>
      <c r="V263" s="143"/>
      <c r="W263" s="143"/>
      <c r="X263" s="143"/>
      <c r="Y263" s="143"/>
      <c r="Z263" s="143"/>
      <c r="AA263" s="143"/>
      <c r="AB263" s="143"/>
      <c r="AC263" s="143"/>
      <c r="AD263" s="143"/>
    </row>
    <row r="264" spans="1:30" ht="50.1" customHeight="1">
      <c r="A264" s="211" t="s">
        <v>285</v>
      </c>
      <c r="B264" s="138" t="s">
        <v>101</v>
      </c>
      <c r="C264" s="138">
        <v>4</v>
      </c>
      <c r="D264" s="138" t="s">
        <v>101</v>
      </c>
      <c r="E264" s="138" t="s">
        <v>101</v>
      </c>
      <c r="F264" s="138" t="s">
        <v>101</v>
      </c>
      <c r="G264" s="138" t="s">
        <v>101</v>
      </c>
      <c r="H264" s="138" t="s">
        <v>101</v>
      </c>
      <c r="I264" s="138" t="s">
        <v>101</v>
      </c>
      <c r="J264" s="138" t="s">
        <v>101</v>
      </c>
      <c r="K264" s="213">
        <v>4</v>
      </c>
      <c r="L264" s="230"/>
      <c r="M264" s="143"/>
      <c r="N264" s="143"/>
      <c r="O264" s="143"/>
      <c r="P264" s="143"/>
      <c r="Q264" s="143"/>
      <c r="R264" s="143"/>
      <c r="S264" s="143"/>
      <c r="T264" s="143"/>
      <c r="U264" s="143"/>
      <c r="V264" s="143"/>
      <c r="W264" s="143"/>
      <c r="X264" s="143"/>
      <c r="Y264" s="143"/>
      <c r="Z264" s="143"/>
      <c r="AA264" s="143"/>
      <c r="AB264" s="143"/>
      <c r="AC264" s="143"/>
      <c r="AD264" s="143"/>
    </row>
    <row r="265" spans="1:30" ht="50.1" customHeight="1">
      <c r="A265" s="211" t="s">
        <v>286</v>
      </c>
      <c r="B265" s="138">
        <v>2</v>
      </c>
      <c r="C265" s="138" t="s">
        <v>101</v>
      </c>
      <c r="D265" s="138" t="s">
        <v>101</v>
      </c>
      <c r="E265" s="138" t="s">
        <v>101</v>
      </c>
      <c r="F265" s="138" t="s">
        <v>101</v>
      </c>
      <c r="G265" s="138" t="s">
        <v>101</v>
      </c>
      <c r="H265" s="138" t="s">
        <v>101</v>
      </c>
      <c r="I265" s="138" t="s">
        <v>101</v>
      </c>
      <c r="J265" s="138" t="s">
        <v>101</v>
      </c>
      <c r="K265" s="213">
        <v>2</v>
      </c>
      <c r="L265" s="230"/>
      <c r="M265" s="143"/>
      <c r="N265" s="143"/>
      <c r="O265" s="143"/>
      <c r="P265" s="143"/>
      <c r="Q265" s="143"/>
      <c r="R265" s="143"/>
      <c r="S265" s="143"/>
      <c r="T265" s="143"/>
      <c r="U265" s="143"/>
      <c r="V265" s="143"/>
      <c r="W265" s="143"/>
      <c r="X265" s="143"/>
      <c r="Y265" s="143"/>
      <c r="Z265" s="143"/>
      <c r="AA265" s="143"/>
      <c r="AB265" s="143"/>
      <c r="AC265" s="143"/>
      <c r="AD265" s="143"/>
    </row>
    <row r="266" spans="1:30" ht="50.1" customHeight="1">
      <c r="A266" s="211" t="s">
        <v>287</v>
      </c>
      <c r="B266" s="138" t="s">
        <v>101</v>
      </c>
      <c r="C266" s="138">
        <v>1</v>
      </c>
      <c r="D266" s="138" t="s">
        <v>101</v>
      </c>
      <c r="E266" s="138" t="s">
        <v>101</v>
      </c>
      <c r="F266" s="138" t="s">
        <v>101</v>
      </c>
      <c r="G266" s="138" t="s">
        <v>101</v>
      </c>
      <c r="H266" s="138" t="s">
        <v>101</v>
      </c>
      <c r="I266" s="138" t="s">
        <v>101</v>
      </c>
      <c r="J266" s="138" t="s">
        <v>101</v>
      </c>
      <c r="K266" s="213">
        <v>1</v>
      </c>
      <c r="L266" s="230"/>
      <c r="M266" s="143"/>
      <c r="N266" s="143"/>
      <c r="O266" s="143"/>
      <c r="P266" s="143"/>
      <c r="Q266" s="143"/>
      <c r="R266" s="143"/>
      <c r="S266" s="143"/>
      <c r="T266" s="143"/>
      <c r="U266" s="143"/>
      <c r="V266" s="143"/>
      <c r="W266" s="143"/>
      <c r="X266" s="143"/>
      <c r="Y266" s="143"/>
      <c r="Z266" s="143"/>
      <c r="AA266" s="143"/>
      <c r="AB266" s="143"/>
      <c r="AC266" s="143"/>
      <c r="AD266" s="143"/>
    </row>
    <row r="267" spans="1:30" ht="50.1" customHeight="1">
      <c r="A267" s="211" t="s">
        <v>288</v>
      </c>
      <c r="B267" s="138">
        <v>2</v>
      </c>
      <c r="C267" s="138">
        <v>3</v>
      </c>
      <c r="D267" s="138" t="s">
        <v>101</v>
      </c>
      <c r="E267" s="138" t="s">
        <v>101</v>
      </c>
      <c r="F267" s="138" t="s">
        <v>101</v>
      </c>
      <c r="G267" s="138" t="s">
        <v>101</v>
      </c>
      <c r="H267" s="138">
        <v>1</v>
      </c>
      <c r="I267" s="138" t="s">
        <v>101</v>
      </c>
      <c r="J267" s="138">
        <v>1</v>
      </c>
      <c r="K267" s="213">
        <v>7</v>
      </c>
      <c r="L267" s="230"/>
      <c r="M267" s="143"/>
      <c r="N267" s="143"/>
      <c r="O267" s="143"/>
      <c r="P267" s="143"/>
      <c r="Q267" s="143"/>
      <c r="R267" s="143"/>
      <c r="S267" s="143"/>
      <c r="T267" s="143"/>
      <c r="U267" s="143"/>
      <c r="V267" s="143"/>
      <c r="W267" s="143"/>
      <c r="X267" s="143"/>
      <c r="Y267" s="143"/>
      <c r="Z267" s="143"/>
      <c r="AA267" s="143"/>
      <c r="AB267" s="143"/>
      <c r="AC267" s="143"/>
      <c r="AD267" s="143"/>
    </row>
    <row r="268" spans="1:30" ht="50.1" customHeight="1">
      <c r="A268" s="211" t="s">
        <v>289</v>
      </c>
      <c r="B268" s="138" t="s">
        <v>101</v>
      </c>
      <c r="C268" s="138">
        <v>2</v>
      </c>
      <c r="D268" s="138" t="s">
        <v>101</v>
      </c>
      <c r="E268" s="138" t="s">
        <v>101</v>
      </c>
      <c r="F268" s="138" t="s">
        <v>101</v>
      </c>
      <c r="G268" s="138" t="s">
        <v>101</v>
      </c>
      <c r="H268" s="138" t="s">
        <v>101</v>
      </c>
      <c r="I268" s="138" t="s">
        <v>101</v>
      </c>
      <c r="J268" s="138" t="s">
        <v>101</v>
      </c>
      <c r="K268" s="213">
        <v>2</v>
      </c>
      <c r="L268" s="230"/>
      <c r="M268" s="143"/>
      <c r="N268" s="143"/>
      <c r="O268" s="143"/>
      <c r="P268" s="143"/>
      <c r="Q268" s="143"/>
      <c r="R268" s="143"/>
      <c r="S268" s="143"/>
      <c r="T268" s="143"/>
      <c r="U268" s="143"/>
      <c r="V268" s="143"/>
      <c r="W268" s="143"/>
      <c r="X268" s="143"/>
      <c r="Y268" s="143"/>
      <c r="Z268" s="143"/>
      <c r="AA268" s="143"/>
      <c r="AB268" s="143"/>
      <c r="AC268" s="143"/>
      <c r="AD268" s="143"/>
    </row>
    <row r="269" spans="1:30" ht="50.1" customHeight="1">
      <c r="A269" s="211" t="s">
        <v>290</v>
      </c>
      <c r="B269" s="138">
        <v>1</v>
      </c>
      <c r="C269" s="138">
        <v>3</v>
      </c>
      <c r="D269" s="138" t="s">
        <v>101</v>
      </c>
      <c r="E269" s="138" t="s">
        <v>101</v>
      </c>
      <c r="F269" s="138" t="s">
        <v>101</v>
      </c>
      <c r="G269" s="138" t="s">
        <v>101</v>
      </c>
      <c r="H269" s="138" t="s">
        <v>101</v>
      </c>
      <c r="I269" s="138">
        <v>1</v>
      </c>
      <c r="J269" s="138">
        <v>1</v>
      </c>
      <c r="K269" s="213">
        <v>5</v>
      </c>
      <c r="L269" s="230"/>
      <c r="M269" s="143"/>
      <c r="N269" s="143"/>
      <c r="O269" s="143"/>
      <c r="P269" s="143"/>
      <c r="Q269" s="143"/>
      <c r="R269" s="143"/>
      <c r="S269" s="143"/>
      <c r="T269" s="143"/>
      <c r="U269" s="143"/>
      <c r="V269" s="143"/>
      <c r="W269" s="143"/>
      <c r="X269" s="143"/>
      <c r="Y269" s="143"/>
      <c r="Z269" s="143"/>
      <c r="AA269" s="143"/>
      <c r="AB269" s="143"/>
      <c r="AC269" s="143"/>
      <c r="AD269" s="143"/>
    </row>
    <row r="270" spans="1:30" ht="50.1" customHeight="1">
      <c r="A270" s="211" t="s">
        <v>291</v>
      </c>
      <c r="B270" s="138">
        <v>1</v>
      </c>
      <c r="C270" s="138">
        <v>1</v>
      </c>
      <c r="D270" s="138" t="s">
        <v>101</v>
      </c>
      <c r="E270" s="138" t="s">
        <v>101</v>
      </c>
      <c r="F270" s="138" t="s">
        <v>101</v>
      </c>
      <c r="G270" s="138" t="s">
        <v>101</v>
      </c>
      <c r="H270" s="138" t="s">
        <v>101</v>
      </c>
      <c r="I270" s="138" t="s">
        <v>101</v>
      </c>
      <c r="J270" s="138" t="s">
        <v>101</v>
      </c>
      <c r="K270" s="213">
        <v>2</v>
      </c>
      <c r="L270" s="230"/>
      <c r="M270" s="143"/>
      <c r="N270" s="143"/>
      <c r="O270" s="143"/>
      <c r="P270" s="143"/>
      <c r="Q270" s="143"/>
      <c r="R270" s="143"/>
      <c r="S270" s="143"/>
      <c r="T270" s="143"/>
      <c r="U270" s="143"/>
      <c r="V270" s="143"/>
      <c r="W270" s="143"/>
      <c r="X270" s="143"/>
      <c r="Y270" s="143"/>
      <c r="Z270" s="143"/>
      <c r="AA270" s="143"/>
      <c r="AB270" s="143"/>
      <c r="AC270" s="143"/>
      <c r="AD270" s="143"/>
    </row>
    <row r="271" spans="1:30" ht="50.1" customHeight="1">
      <c r="A271" s="211" t="s">
        <v>292</v>
      </c>
      <c r="B271" s="138" t="s">
        <v>101</v>
      </c>
      <c r="C271" s="138">
        <v>3</v>
      </c>
      <c r="D271" s="138" t="s">
        <v>101</v>
      </c>
      <c r="E271" s="138" t="s">
        <v>101</v>
      </c>
      <c r="F271" s="138" t="s">
        <v>101</v>
      </c>
      <c r="G271" s="138" t="s">
        <v>101</v>
      </c>
      <c r="H271" s="138" t="s">
        <v>101</v>
      </c>
      <c r="I271" s="138" t="s">
        <v>101</v>
      </c>
      <c r="J271" s="138" t="s">
        <v>101</v>
      </c>
      <c r="K271" s="213">
        <v>3</v>
      </c>
      <c r="L271" s="230"/>
      <c r="M271" s="143"/>
      <c r="N271" s="143"/>
      <c r="O271" s="143"/>
      <c r="P271" s="143"/>
      <c r="Q271" s="143"/>
      <c r="R271" s="143"/>
      <c r="S271" s="143"/>
      <c r="T271" s="143"/>
      <c r="U271" s="143"/>
      <c r="V271" s="143"/>
      <c r="W271" s="143"/>
      <c r="X271" s="143"/>
      <c r="Y271" s="143"/>
      <c r="Z271" s="143"/>
      <c r="AA271" s="143"/>
      <c r="AB271" s="143"/>
      <c r="AC271" s="143"/>
      <c r="AD271" s="143"/>
    </row>
    <row r="272" spans="1:30" ht="50.1" customHeight="1">
      <c r="A272" s="211" t="s">
        <v>293</v>
      </c>
      <c r="B272" s="138" t="s">
        <v>101</v>
      </c>
      <c r="C272" s="138">
        <v>13</v>
      </c>
      <c r="D272" s="138" t="s">
        <v>101</v>
      </c>
      <c r="E272" s="138" t="s">
        <v>101</v>
      </c>
      <c r="F272" s="138" t="s">
        <v>101</v>
      </c>
      <c r="G272" s="138" t="s">
        <v>101</v>
      </c>
      <c r="H272" s="138" t="s">
        <v>101</v>
      </c>
      <c r="I272" s="138" t="s">
        <v>101</v>
      </c>
      <c r="J272" s="138" t="s">
        <v>101</v>
      </c>
      <c r="K272" s="213">
        <v>13</v>
      </c>
      <c r="L272" s="230"/>
      <c r="M272" s="143"/>
      <c r="N272" s="143"/>
      <c r="O272" s="143"/>
      <c r="P272" s="143"/>
      <c r="Q272" s="143"/>
      <c r="R272" s="143"/>
      <c r="S272" s="143"/>
      <c r="T272" s="143"/>
      <c r="U272" s="143"/>
      <c r="V272" s="143"/>
      <c r="W272" s="143"/>
      <c r="X272" s="143"/>
      <c r="Y272" s="143"/>
      <c r="Z272" s="143"/>
      <c r="AA272" s="143"/>
      <c r="AB272" s="143"/>
      <c r="AC272" s="143"/>
      <c r="AD272" s="143"/>
    </row>
    <row r="273" spans="1:30" ht="50.1" customHeight="1">
      <c r="A273" s="211" t="s">
        <v>294</v>
      </c>
      <c r="B273" s="138" t="s">
        <v>101</v>
      </c>
      <c r="C273" s="138">
        <v>1</v>
      </c>
      <c r="D273" s="138" t="s">
        <v>101</v>
      </c>
      <c r="E273" s="138" t="s">
        <v>101</v>
      </c>
      <c r="F273" s="138" t="s">
        <v>101</v>
      </c>
      <c r="G273" s="138" t="s">
        <v>101</v>
      </c>
      <c r="H273" s="138" t="s">
        <v>101</v>
      </c>
      <c r="I273" s="138" t="s">
        <v>101</v>
      </c>
      <c r="J273" s="138" t="s">
        <v>101</v>
      </c>
      <c r="K273" s="213">
        <v>1</v>
      </c>
      <c r="L273" s="230"/>
      <c r="M273" s="143"/>
      <c r="N273" s="143"/>
      <c r="O273" s="143"/>
      <c r="P273" s="143"/>
      <c r="Q273" s="143"/>
      <c r="R273" s="143"/>
      <c r="S273" s="143"/>
      <c r="T273" s="143"/>
      <c r="U273" s="143"/>
      <c r="V273" s="143"/>
      <c r="W273" s="143"/>
      <c r="X273" s="143"/>
      <c r="Y273" s="143"/>
      <c r="Z273" s="143"/>
      <c r="AA273" s="143"/>
      <c r="AB273" s="143"/>
      <c r="AC273" s="143"/>
      <c r="AD273" s="143"/>
    </row>
    <row r="274" spans="1:30" ht="50.1" customHeight="1">
      <c r="A274" s="211" t="s">
        <v>76</v>
      </c>
      <c r="B274" s="138" t="s">
        <v>101</v>
      </c>
      <c r="C274" s="138">
        <v>1</v>
      </c>
      <c r="D274" s="138" t="s">
        <v>101</v>
      </c>
      <c r="E274" s="138" t="s">
        <v>101</v>
      </c>
      <c r="F274" s="138" t="s">
        <v>101</v>
      </c>
      <c r="G274" s="138" t="s">
        <v>101</v>
      </c>
      <c r="H274" s="138" t="s">
        <v>101</v>
      </c>
      <c r="I274" s="138" t="s">
        <v>101</v>
      </c>
      <c r="J274" s="138" t="s">
        <v>101</v>
      </c>
      <c r="K274" s="213">
        <v>1</v>
      </c>
      <c r="L274" s="230"/>
      <c r="M274" s="143"/>
      <c r="N274" s="143"/>
      <c r="O274" s="143"/>
      <c r="P274" s="143"/>
      <c r="Q274" s="143"/>
      <c r="R274" s="143"/>
      <c r="S274" s="143"/>
      <c r="T274" s="143"/>
      <c r="U274" s="143"/>
      <c r="V274" s="143"/>
      <c r="W274" s="143"/>
      <c r="X274" s="143"/>
      <c r="Y274" s="143"/>
      <c r="Z274" s="143"/>
      <c r="AA274" s="143"/>
      <c r="AB274" s="143"/>
      <c r="AC274" s="143"/>
      <c r="AD274" s="143"/>
    </row>
    <row r="275" spans="1:30" ht="50.1" customHeight="1" thickBot="1">
      <c r="A275" s="215" t="s">
        <v>302</v>
      </c>
      <c r="B275" s="216" t="s">
        <v>101</v>
      </c>
      <c r="C275" s="216">
        <v>2</v>
      </c>
      <c r="D275" s="216" t="s">
        <v>101</v>
      </c>
      <c r="E275" s="216" t="s">
        <v>101</v>
      </c>
      <c r="F275" s="216" t="s">
        <v>101</v>
      </c>
      <c r="G275" s="216" t="s">
        <v>101</v>
      </c>
      <c r="H275" s="216" t="s">
        <v>101</v>
      </c>
      <c r="I275" s="216" t="s">
        <v>101</v>
      </c>
      <c r="J275" s="216" t="s">
        <v>101</v>
      </c>
      <c r="K275" s="219">
        <v>2</v>
      </c>
      <c r="L275" s="230"/>
      <c r="M275" s="143"/>
      <c r="N275" s="143"/>
      <c r="O275" s="143"/>
      <c r="P275" s="143"/>
      <c r="Q275" s="143"/>
      <c r="R275" s="143"/>
      <c r="S275" s="143"/>
      <c r="T275" s="143"/>
      <c r="U275" s="143"/>
      <c r="V275" s="143"/>
      <c r="W275" s="143"/>
      <c r="X275" s="143"/>
      <c r="Y275" s="143"/>
      <c r="Z275" s="143"/>
      <c r="AA275" s="143"/>
      <c r="AB275" s="143"/>
      <c r="AC275" s="143"/>
      <c r="AD275" s="143"/>
    </row>
    <row r="276" spans="1:30" ht="50.1" customHeight="1" thickTop="1" thickBot="1">
      <c r="A276" s="220" t="s">
        <v>317</v>
      </c>
      <c r="B276" s="264">
        <f>SUM(B197:B275)</f>
        <v>39</v>
      </c>
      <c r="C276" s="264">
        <f t="shared" ref="C276:J276" si="2">SUM(C197:C275)</f>
        <v>129</v>
      </c>
      <c r="D276" s="264">
        <f t="shared" si="2"/>
        <v>1</v>
      </c>
      <c r="E276" s="264">
        <f t="shared" si="2"/>
        <v>0</v>
      </c>
      <c r="F276" s="264">
        <f t="shared" si="2"/>
        <v>11</v>
      </c>
      <c r="G276" s="264">
        <f t="shared" si="2"/>
        <v>1</v>
      </c>
      <c r="H276" s="264">
        <f t="shared" si="2"/>
        <v>3</v>
      </c>
      <c r="I276" s="264">
        <f t="shared" si="2"/>
        <v>3</v>
      </c>
      <c r="J276" s="264">
        <f t="shared" si="2"/>
        <v>2</v>
      </c>
      <c r="K276" s="229">
        <v>188</v>
      </c>
      <c r="L276" s="230"/>
      <c r="M276" s="143"/>
      <c r="N276" s="143"/>
      <c r="O276" s="143"/>
      <c r="P276" s="143"/>
      <c r="Q276" s="143"/>
      <c r="R276" s="143"/>
      <c r="S276" s="143"/>
      <c r="T276" s="143"/>
      <c r="U276" s="143"/>
      <c r="V276" s="143"/>
      <c r="W276" s="143"/>
      <c r="X276" s="143"/>
      <c r="Y276" s="143"/>
      <c r="Z276" s="143"/>
      <c r="AA276" s="143"/>
      <c r="AB276" s="143"/>
      <c r="AC276" s="143"/>
      <c r="AD276" s="143"/>
    </row>
    <row r="277" spans="1:30" ht="50.1" customHeight="1" thickTop="1"/>
  </sheetData>
  <sortState ref="L4:L190">
    <sortCondition ref="L3"/>
  </sortState>
  <mergeCells count="23">
    <mergeCell ref="AA195:AA196"/>
    <mergeCell ref="R195:R196"/>
    <mergeCell ref="S201:V201"/>
    <mergeCell ref="R201:R202"/>
    <mergeCell ref="S195:X195"/>
    <mergeCell ref="Y195:Y196"/>
    <mergeCell ref="Z195:Z196"/>
    <mergeCell ref="A195:A196"/>
    <mergeCell ref="B195:K195"/>
    <mergeCell ref="R1:R2"/>
    <mergeCell ref="X1:X2"/>
    <mergeCell ref="Y1:Y2"/>
    <mergeCell ref="B1:J1"/>
    <mergeCell ref="O1:O2"/>
    <mergeCell ref="P1:P2"/>
    <mergeCell ref="Q1:Q2"/>
    <mergeCell ref="S1:W1"/>
    <mergeCell ref="A1:A2"/>
    <mergeCell ref="K1:K2"/>
    <mergeCell ref="L1:L2"/>
    <mergeCell ref="M1:M2"/>
    <mergeCell ref="N1:N2"/>
    <mergeCell ref="S192:W19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31"/>
  <sheetViews>
    <sheetView zoomScale="70" zoomScaleNormal="70" workbookViewId="0">
      <selection activeCell="H31" sqref="H31"/>
    </sheetView>
  </sheetViews>
  <sheetFormatPr defaultRowHeight="15.75"/>
  <cols>
    <col min="1" max="1" width="40.5" style="40" customWidth="1"/>
    <col min="2" max="2" width="18.875" style="40" customWidth="1"/>
    <col min="3" max="3" width="19.375" style="40" customWidth="1"/>
    <col min="4" max="4" width="15.25" style="40" customWidth="1"/>
    <col min="5" max="5" width="21.375" style="40" customWidth="1"/>
    <col min="6" max="6" width="15.75" style="40" customWidth="1"/>
    <col min="7" max="7" width="16.5" style="40" customWidth="1"/>
    <col min="8" max="8" width="19.125" style="40" customWidth="1"/>
    <col min="9" max="9" width="24.125" style="40" customWidth="1"/>
    <col min="10" max="10" width="18.125" style="40" customWidth="1"/>
    <col min="11" max="11" width="12.25" style="40" customWidth="1"/>
    <col min="12" max="12" width="13.5" style="40" customWidth="1"/>
    <col min="13" max="16384" width="9" style="40"/>
  </cols>
  <sheetData>
    <row r="1" spans="1:13">
      <c r="A1" s="313" t="s">
        <v>646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71"/>
      <c r="M1" s="71"/>
    </row>
    <row r="2" spans="1:13" ht="48" customHeight="1">
      <c r="A2" s="317" t="s">
        <v>455</v>
      </c>
      <c r="B2" s="318" t="s">
        <v>577</v>
      </c>
      <c r="C2" s="317" t="s">
        <v>458</v>
      </c>
      <c r="D2" s="318" t="s">
        <v>578</v>
      </c>
      <c r="E2" s="318"/>
      <c r="F2" s="318" t="s">
        <v>456</v>
      </c>
      <c r="G2" s="318" t="s">
        <v>689</v>
      </c>
      <c r="H2" s="318" t="s">
        <v>465</v>
      </c>
      <c r="I2" s="318" t="s">
        <v>452</v>
      </c>
      <c r="J2" s="318" t="s">
        <v>690</v>
      </c>
      <c r="K2" s="318" t="s">
        <v>453</v>
      </c>
      <c r="L2" s="71"/>
      <c r="M2" s="71"/>
    </row>
    <row r="3" spans="1:13" ht="39.75" customHeight="1">
      <c r="A3" s="317"/>
      <c r="B3" s="318"/>
      <c r="C3" s="317"/>
      <c r="D3" s="72" t="s">
        <v>457</v>
      </c>
      <c r="E3" s="72" t="s">
        <v>458</v>
      </c>
      <c r="F3" s="318"/>
      <c r="G3" s="318"/>
      <c r="H3" s="318"/>
      <c r="I3" s="318"/>
      <c r="J3" s="318"/>
      <c r="K3" s="318"/>
      <c r="L3" s="71"/>
      <c r="M3" s="71"/>
    </row>
    <row r="4" spans="1:13">
      <c r="A4" s="72" t="s">
        <v>130</v>
      </c>
      <c r="B4" s="72">
        <v>40339.730000000003</v>
      </c>
      <c r="C4" s="72" t="s">
        <v>422</v>
      </c>
      <c r="D4" s="72">
        <f>40339.73+B31</f>
        <v>40234.600000000006</v>
      </c>
      <c r="E4" s="72" t="s">
        <v>422</v>
      </c>
      <c r="F4" s="72" t="s">
        <v>101</v>
      </c>
      <c r="G4" s="72">
        <f>D4</f>
        <v>40234.600000000006</v>
      </c>
      <c r="H4" s="73">
        <v>0.44600000000000001</v>
      </c>
      <c r="I4" s="72">
        <f>G4*H4</f>
        <v>17944.631600000004</v>
      </c>
      <c r="J4" s="74">
        <f t="shared" ref="J4:J11" si="0">G4/$G$12*100</f>
        <v>2.9955621086256112</v>
      </c>
      <c r="K4" s="72">
        <f t="shared" ref="K4:K11" si="1">I4/$I$12*100</f>
        <v>19.520416858851171</v>
      </c>
      <c r="L4" s="71"/>
      <c r="M4" s="71"/>
    </row>
    <row r="5" spans="1:13">
      <c r="A5" s="72" t="s">
        <v>462</v>
      </c>
      <c r="B5" s="72">
        <f>SUM('Ankiety - budynki jednorodzinne'!U3:U190)</f>
        <v>14200</v>
      </c>
      <c r="C5" s="72" t="s">
        <v>221</v>
      </c>
      <c r="D5" s="72">
        <f>E20*F20+B29+B35</f>
        <v>857910.17021276592</v>
      </c>
      <c r="E5" s="72" t="s">
        <v>221</v>
      </c>
      <c r="F5" s="72">
        <v>35.94</v>
      </c>
      <c r="G5" s="72">
        <f>D5*F5/3600</f>
        <v>8564.80319929078</v>
      </c>
      <c r="H5" s="73">
        <v>0.2</v>
      </c>
      <c r="I5" s="72">
        <f>H5*G5</f>
        <v>1712.9606398581561</v>
      </c>
      <c r="J5" s="74">
        <f t="shared" si="0"/>
        <v>0.63767006336911181</v>
      </c>
      <c r="K5" s="72">
        <f t="shared" si="1"/>
        <v>1.8633821244252031</v>
      </c>
      <c r="L5" s="71"/>
      <c r="M5" s="71"/>
    </row>
    <row r="6" spans="1:13">
      <c r="A6" s="72" t="s">
        <v>132</v>
      </c>
      <c r="B6" s="72">
        <f>SUM('Ankiety - budynki jednorodzinne'!V3:V190)</f>
        <v>8000</v>
      </c>
      <c r="C6" s="72" t="s">
        <v>222</v>
      </c>
      <c r="D6" s="72">
        <f>E21*F21+B30</f>
        <v>296893.61702127656</v>
      </c>
      <c r="E6" s="72" t="s">
        <v>222</v>
      </c>
      <c r="F6" s="72">
        <v>40.19</v>
      </c>
      <c r="G6" s="72">
        <f>D6*F6/3600</f>
        <v>3314.4873522458624</v>
      </c>
      <c r="H6" s="73">
        <v>0.27</v>
      </c>
      <c r="I6" s="72">
        <f>H6*G6</f>
        <v>894.91158510638297</v>
      </c>
      <c r="J6" s="74">
        <f t="shared" si="0"/>
        <v>0.24677150318150382</v>
      </c>
      <c r="K6" s="72">
        <f t="shared" si="1"/>
        <v>0.97349712061471672</v>
      </c>
      <c r="L6" s="71"/>
      <c r="M6" s="71"/>
    </row>
    <row r="7" spans="1:13">
      <c r="A7" s="72" t="s">
        <v>442</v>
      </c>
      <c r="B7" s="72">
        <f>SUM('Ankiety - budynki jednorodzinne'!S3:S190)</f>
        <v>550.5</v>
      </c>
      <c r="C7" s="72" t="s">
        <v>223</v>
      </c>
      <c r="D7" s="72">
        <f>E22*F22</f>
        <v>19328.992021276594</v>
      </c>
      <c r="E7" s="72" t="s">
        <v>223</v>
      </c>
      <c r="F7" s="72">
        <v>22.63</v>
      </c>
      <c r="G7" s="72">
        <f>(F7*D7)/3.6</f>
        <v>121504.19151152481</v>
      </c>
      <c r="H7" s="73">
        <v>0.318</v>
      </c>
      <c r="I7" s="72">
        <f>H7*G7</f>
        <v>38638.332900664893</v>
      </c>
      <c r="J7" s="74">
        <f t="shared" si="0"/>
        <v>9.0462773864065582</v>
      </c>
      <c r="K7" s="72">
        <f t="shared" si="1"/>
        <v>42.031309517217544</v>
      </c>
      <c r="L7" s="71"/>
      <c r="M7" s="71"/>
    </row>
    <row r="8" spans="1:13">
      <c r="A8" s="72" t="s">
        <v>466</v>
      </c>
      <c r="B8" s="72">
        <f>SUM('Ankiety - budynki jednorodzinne'!W3:W190)</f>
        <v>361</v>
      </c>
      <c r="C8" s="72" t="s">
        <v>223</v>
      </c>
      <c r="D8" s="72">
        <f>E23*F23</f>
        <v>12675.324468085108</v>
      </c>
      <c r="E8" s="72" t="s">
        <v>223</v>
      </c>
      <c r="F8" s="72">
        <v>15.6</v>
      </c>
      <c r="G8" s="72">
        <f>(F8*D8)/3.6</f>
        <v>54926.406028368801</v>
      </c>
      <c r="H8" s="73">
        <v>0</v>
      </c>
      <c r="I8" s="75">
        <v>0</v>
      </c>
      <c r="J8" s="74">
        <f t="shared" si="0"/>
        <v>4.0894021727957259</v>
      </c>
      <c r="K8" s="72">
        <f t="shared" si="1"/>
        <v>0</v>
      </c>
      <c r="L8" s="71"/>
      <c r="M8" s="71"/>
    </row>
    <row r="9" spans="1:13">
      <c r="A9" s="72" t="s">
        <v>454</v>
      </c>
      <c r="B9" s="72">
        <f>SUM('Ankiety - budynki jednorodzinne'!T3:T190)</f>
        <v>49</v>
      </c>
      <c r="C9" s="72" t="s">
        <v>223</v>
      </c>
      <c r="D9" s="72">
        <f>E24*F24</f>
        <v>1720.4734042553191</v>
      </c>
      <c r="E9" s="72" t="s">
        <v>223</v>
      </c>
      <c r="F9" s="72">
        <v>26.5</v>
      </c>
      <c r="G9" s="72">
        <f>(F9*D9)/3.6</f>
        <v>12664.595892434989</v>
      </c>
      <c r="H9" s="73">
        <v>0.313</v>
      </c>
      <c r="I9" s="72">
        <f>H9*G9</f>
        <v>3964.0185143321514</v>
      </c>
      <c r="J9" s="74">
        <f t="shared" si="0"/>
        <v>0.94290942562952795</v>
      </c>
      <c r="K9" s="72">
        <f t="shared" si="1"/>
        <v>4.3121138154749019</v>
      </c>
      <c r="L9" s="71"/>
      <c r="M9" s="71"/>
    </row>
    <row r="10" spans="1:13" ht="31.5">
      <c r="A10" s="76" t="s">
        <v>576</v>
      </c>
      <c r="B10" s="72">
        <f>119163*0.8263</f>
        <v>98464.386899999998</v>
      </c>
      <c r="C10" s="72" t="s">
        <v>423</v>
      </c>
      <c r="D10" s="72">
        <f>B10</f>
        <v>98464.386899999998</v>
      </c>
      <c r="E10" s="72" t="s">
        <v>423</v>
      </c>
      <c r="F10" s="72" t="s">
        <v>101</v>
      </c>
      <c r="G10" s="72">
        <f>B10*3.6</f>
        <v>354471.79284000001</v>
      </c>
      <c r="H10" s="73">
        <v>9.4E-2</v>
      </c>
      <c r="I10" s="72">
        <f>B10*0.094</f>
        <v>9255.6523686</v>
      </c>
      <c r="J10" s="74">
        <f t="shared" si="0"/>
        <v>26.391271970097659</v>
      </c>
      <c r="K10" s="72">
        <f t="shared" si="1"/>
        <v>10.068425842505743</v>
      </c>
      <c r="L10" s="71"/>
      <c r="M10" s="71"/>
    </row>
    <row r="11" spans="1:13" ht="32.25" thickBot="1">
      <c r="A11" s="76" t="s">
        <v>552</v>
      </c>
      <c r="B11" s="72">
        <f>0.6*346046</f>
        <v>207627.6</v>
      </c>
      <c r="C11" s="72" t="s">
        <v>423</v>
      </c>
      <c r="D11" s="72">
        <f>B11</f>
        <v>207627.6</v>
      </c>
      <c r="E11" s="72" t="s">
        <v>423</v>
      </c>
      <c r="F11" s="72" t="s">
        <v>101</v>
      </c>
      <c r="G11" s="77">
        <f>B11*3.6</f>
        <v>747459.36</v>
      </c>
      <c r="H11" s="73">
        <v>9.4E-2</v>
      </c>
      <c r="I11" s="77">
        <f>B11*0.094</f>
        <v>19516.9944</v>
      </c>
      <c r="J11" s="78">
        <f t="shared" si="0"/>
        <v>55.650135369894308</v>
      </c>
      <c r="K11" s="77">
        <f t="shared" si="1"/>
        <v>21.230854720910727</v>
      </c>
      <c r="L11" s="71"/>
      <c r="M11" s="71"/>
    </row>
    <row r="12" spans="1:13" ht="16.5" thickBot="1">
      <c r="A12" s="71"/>
      <c r="B12" s="71"/>
      <c r="C12" s="71"/>
      <c r="D12" s="71"/>
      <c r="E12" s="71"/>
      <c r="F12" s="71"/>
      <c r="G12" s="79">
        <f>SUM(G4:G11)</f>
        <v>1343140.2368238652</v>
      </c>
      <c r="H12" s="71"/>
      <c r="I12" s="80">
        <f>SUM(I4:I11)</f>
        <v>91927.502008561583</v>
      </c>
      <c r="J12" s="81">
        <f>SUM(J4:J11)</f>
        <v>100</v>
      </c>
      <c r="K12" s="82">
        <f>SUM(K4:K11)</f>
        <v>100.00000000000001</v>
      </c>
      <c r="L12" s="71"/>
      <c r="M12" s="71"/>
    </row>
    <row r="13" spans="1:13">
      <c r="A13" s="72" t="s">
        <v>431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</row>
    <row r="14" spans="1:13">
      <c r="A14" s="72">
        <v>2.8632</v>
      </c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</row>
    <row r="15" spans="1:13">
      <c r="A15" s="72" t="s">
        <v>459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</row>
    <row r="16" spans="1:13">
      <c r="A16" s="83">
        <v>6601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</row>
    <row r="17" spans="1:13">
      <c r="A17" s="72" t="s">
        <v>460</v>
      </c>
      <c r="B17" s="71"/>
      <c r="C17" s="71"/>
      <c r="D17" s="84"/>
      <c r="E17" s="84"/>
      <c r="F17" s="84"/>
      <c r="G17" s="84"/>
      <c r="H17" s="84"/>
      <c r="I17" s="84"/>
      <c r="J17" s="84"/>
      <c r="K17" s="71"/>
      <c r="L17" s="71"/>
      <c r="M17" s="71"/>
    </row>
    <row r="18" spans="1:13" ht="16.5" thickBot="1">
      <c r="A18" s="83">
        <v>188</v>
      </c>
      <c r="B18" s="71"/>
      <c r="C18" s="71"/>
      <c r="D18" s="71"/>
      <c r="E18" s="71"/>
      <c r="F18" s="71"/>
      <c r="G18" s="84"/>
      <c r="H18" s="84"/>
      <c r="I18" s="84"/>
      <c r="J18" s="84"/>
      <c r="K18" s="71"/>
      <c r="L18" s="71"/>
      <c r="M18" s="71"/>
    </row>
    <row r="19" spans="1:13" ht="47.25">
      <c r="A19" s="72" t="s">
        <v>463</v>
      </c>
      <c r="B19" s="76" t="s">
        <v>464</v>
      </c>
      <c r="C19" s="76" t="s">
        <v>461</v>
      </c>
      <c r="D19" s="76" t="s">
        <v>432</v>
      </c>
      <c r="E19" s="76" t="s">
        <v>565</v>
      </c>
      <c r="F19" s="76" t="s">
        <v>467</v>
      </c>
      <c r="G19" s="72" t="s">
        <v>458</v>
      </c>
      <c r="H19" s="84"/>
      <c r="I19" s="319" t="s">
        <v>679</v>
      </c>
      <c r="J19" s="320"/>
      <c r="K19" s="85"/>
      <c r="L19" s="71"/>
      <c r="M19" s="71"/>
    </row>
    <row r="20" spans="1:13" ht="18.75">
      <c r="A20" s="72" t="s">
        <v>462</v>
      </c>
      <c r="B20" s="83">
        <f>'Ankiety - budynki jednorodzinne'!U191</f>
        <v>8</v>
      </c>
      <c r="C20" s="83">
        <v>188</v>
      </c>
      <c r="D20" s="72">
        <f>B20/C20*100</f>
        <v>4.2553191489361701</v>
      </c>
      <c r="E20" s="72">
        <f>6601*D20/100</f>
        <v>280.89361702127661</v>
      </c>
      <c r="F20" s="72">
        <f>B5/8</f>
        <v>1775</v>
      </c>
      <c r="G20" s="86" t="s">
        <v>221</v>
      </c>
      <c r="H20" s="87"/>
      <c r="I20" s="321"/>
      <c r="J20" s="322"/>
      <c r="K20" s="85"/>
      <c r="L20" s="71"/>
      <c r="M20" s="71"/>
    </row>
    <row r="21" spans="1:13" ht="18.75">
      <c r="A21" s="72" t="s">
        <v>132</v>
      </c>
      <c r="B21" s="83">
        <f>'Ankiety - budynki jednorodzinne'!V191</f>
        <v>3</v>
      </c>
      <c r="C21" s="83">
        <v>188</v>
      </c>
      <c r="D21" s="72">
        <f>B21/C21*100</f>
        <v>1.5957446808510638</v>
      </c>
      <c r="E21" s="72">
        <f>6601*D21/100</f>
        <v>105.33510638297872</v>
      </c>
      <c r="F21" s="72">
        <f>B6/3</f>
        <v>2666.6666666666665</v>
      </c>
      <c r="G21" s="86" t="s">
        <v>222</v>
      </c>
      <c r="H21" s="87"/>
      <c r="I21" s="327" t="s">
        <v>676</v>
      </c>
      <c r="J21" s="328"/>
      <c r="K21" s="85"/>
      <c r="L21" s="71"/>
      <c r="M21" s="71"/>
    </row>
    <row r="22" spans="1:13" ht="18.75">
      <c r="A22" s="72" t="s">
        <v>442</v>
      </c>
      <c r="B22" s="83">
        <f>'Ankiety - budynki jednorodzinne'!S191</f>
        <v>140</v>
      </c>
      <c r="C22" s="83">
        <v>188</v>
      </c>
      <c r="D22" s="72">
        <f>B22/C22*100</f>
        <v>74.468085106382972</v>
      </c>
      <c r="E22" s="72">
        <f>6601*D22/100</f>
        <v>4915.6382978723404</v>
      </c>
      <c r="F22" s="86">
        <f>550.5/140</f>
        <v>3.9321428571428569</v>
      </c>
      <c r="G22" s="86" t="s">
        <v>223</v>
      </c>
      <c r="H22" s="88"/>
      <c r="I22" s="327"/>
      <c r="J22" s="328"/>
      <c r="K22" s="85"/>
      <c r="L22" s="71"/>
      <c r="M22" s="71"/>
    </row>
    <row r="23" spans="1:13" ht="18.75">
      <c r="A23" s="72" t="s">
        <v>443</v>
      </c>
      <c r="B23" s="83">
        <f>'Ankiety - budynki jednorodzinne'!W191</f>
        <v>116</v>
      </c>
      <c r="C23" s="83">
        <v>188</v>
      </c>
      <c r="D23" s="72">
        <f>B23/C23*100</f>
        <v>61.702127659574465</v>
      </c>
      <c r="E23" s="72">
        <f>6601*D23/100</f>
        <v>4072.9574468085107</v>
      </c>
      <c r="F23" s="86">
        <f>B8/116</f>
        <v>3.1120689655172415</v>
      </c>
      <c r="G23" s="86" t="s">
        <v>223</v>
      </c>
      <c r="H23" s="88"/>
      <c r="I23" s="329" t="s">
        <v>677</v>
      </c>
      <c r="J23" s="330"/>
      <c r="K23" s="85"/>
      <c r="L23" s="71"/>
      <c r="M23" s="71"/>
    </row>
    <row r="24" spans="1:13" ht="18.75">
      <c r="A24" s="72" t="s">
        <v>454</v>
      </c>
      <c r="B24" s="83">
        <f>'Ankiety - budynki jednorodzinne'!T191</f>
        <v>13</v>
      </c>
      <c r="C24" s="83">
        <v>188</v>
      </c>
      <c r="D24" s="72">
        <f>B24/C24*100</f>
        <v>6.9148936170212769</v>
      </c>
      <c r="E24" s="72">
        <f>6601*D24/100</f>
        <v>456.45212765957444</v>
      </c>
      <c r="F24" s="86">
        <f>B9/13</f>
        <v>3.7692307692307692</v>
      </c>
      <c r="G24" s="86" t="s">
        <v>223</v>
      </c>
      <c r="H24" s="88"/>
      <c r="I24" s="329"/>
      <c r="J24" s="330"/>
      <c r="K24" s="85"/>
      <c r="L24" s="71"/>
      <c r="M24" s="71"/>
    </row>
    <row r="25" spans="1:13" ht="18.75">
      <c r="A25" s="71"/>
      <c r="B25" s="71"/>
      <c r="C25" s="71"/>
      <c r="D25" s="84"/>
      <c r="E25" s="88"/>
      <c r="F25" s="88"/>
      <c r="G25" s="88"/>
      <c r="H25" s="88"/>
      <c r="I25" s="323" t="s">
        <v>678</v>
      </c>
      <c r="J25" s="324"/>
      <c r="K25" s="85"/>
      <c r="L25" s="71"/>
      <c r="M25" s="71"/>
    </row>
    <row r="26" spans="1:13" ht="19.5" thickBot="1">
      <c r="A26" s="71"/>
      <c r="B26" s="71"/>
      <c r="C26" s="71"/>
      <c r="D26" s="84"/>
      <c r="E26" s="88"/>
      <c r="F26" s="88"/>
      <c r="G26" s="88"/>
      <c r="H26" s="88"/>
      <c r="I26" s="325"/>
      <c r="J26" s="326"/>
      <c r="K26" s="85"/>
      <c r="L26" s="71"/>
      <c r="M26" s="71"/>
    </row>
    <row r="27" spans="1:13" ht="18.75">
      <c r="A27" s="317" t="s">
        <v>568</v>
      </c>
      <c r="B27" s="317"/>
      <c r="C27" s="71"/>
      <c r="D27" s="84"/>
      <c r="E27" s="88"/>
      <c r="F27" s="88"/>
      <c r="G27" s="88"/>
      <c r="H27" s="88"/>
      <c r="I27" s="89"/>
      <c r="J27" s="90"/>
      <c r="K27" s="85"/>
      <c r="L27" s="71"/>
      <c r="M27" s="71"/>
    </row>
    <row r="28" spans="1:13" ht="18.75">
      <c r="A28" s="72" t="s">
        <v>455</v>
      </c>
      <c r="B28" s="72" t="s">
        <v>526</v>
      </c>
      <c r="C28" s="71"/>
      <c r="D28" s="84"/>
      <c r="E28" s="88"/>
      <c r="F28" s="88"/>
      <c r="G28" s="88"/>
      <c r="H28" s="88"/>
      <c r="I28" s="89"/>
      <c r="J28" s="90"/>
      <c r="K28" s="85"/>
      <c r="L28" s="71"/>
      <c r="M28" s="71"/>
    </row>
    <row r="29" spans="1:13" ht="18.75">
      <c r="A29" s="72" t="s">
        <v>225</v>
      </c>
      <c r="B29" s="72">
        <f>158201+65852+14406+21473+4992</f>
        <v>264924</v>
      </c>
      <c r="C29" s="71"/>
      <c r="D29" s="84"/>
      <c r="E29" s="88"/>
      <c r="F29" s="88"/>
      <c r="G29" s="88"/>
      <c r="H29" s="88"/>
      <c r="I29" s="89"/>
      <c r="J29" s="90"/>
      <c r="K29" s="85"/>
      <c r="L29" s="71"/>
      <c r="M29" s="71"/>
    </row>
    <row r="30" spans="1:13" ht="18.75">
      <c r="A30" s="72" t="s">
        <v>409</v>
      </c>
      <c r="B30" s="72">
        <v>16000</v>
      </c>
      <c r="C30" s="71"/>
      <c r="D30" s="84"/>
      <c r="E30" s="84"/>
      <c r="F30" s="84"/>
      <c r="G30" s="84"/>
      <c r="H30" s="84"/>
      <c r="I30" s="90"/>
      <c r="J30" s="90"/>
      <c r="K30" s="85"/>
      <c r="L30" s="71"/>
      <c r="M30" s="71"/>
    </row>
    <row r="31" spans="1:13">
      <c r="A31" s="72" t="s">
        <v>569</v>
      </c>
      <c r="B31" s="72">
        <f>(62870-168000)/1000</f>
        <v>-105.13</v>
      </c>
      <c r="C31" s="71"/>
      <c r="D31" s="84"/>
      <c r="E31" s="84"/>
      <c r="F31" s="84"/>
      <c r="G31" s="84"/>
      <c r="H31" s="84"/>
      <c r="I31" s="84"/>
      <c r="J31" s="84"/>
      <c r="K31" s="71"/>
      <c r="L31" s="71"/>
      <c r="M31" s="71"/>
    </row>
    <row r="32" spans="1:13">
      <c r="A32" s="71"/>
      <c r="B32" s="71"/>
      <c r="C32" s="71"/>
      <c r="D32" s="84"/>
      <c r="E32" s="84"/>
      <c r="F32" s="84"/>
      <c r="G32" s="84"/>
      <c r="H32" s="84"/>
      <c r="I32" s="84"/>
      <c r="J32" s="84"/>
      <c r="K32" s="71"/>
      <c r="L32" s="71"/>
      <c r="M32" s="71"/>
    </row>
    <row r="33" spans="1:13">
      <c r="A33" s="317" t="s">
        <v>575</v>
      </c>
      <c r="B33" s="317"/>
      <c r="C33" s="71"/>
      <c r="D33" s="84"/>
      <c r="E33" s="84"/>
      <c r="F33" s="84"/>
      <c r="G33" s="84"/>
      <c r="H33" s="84"/>
      <c r="I33" s="84"/>
      <c r="J33" s="84"/>
      <c r="K33" s="71"/>
      <c r="L33" s="71"/>
      <c r="M33" s="71"/>
    </row>
    <row r="34" spans="1:13">
      <c r="A34" s="72" t="s">
        <v>455</v>
      </c>
      <c r="B34" s="72" t="s">
        <v>526</v>
      </c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</row>
    <row r="35" spans="1:13">
      <c r="A35" s="72" t="s">
        <v>225</v>
      </c>
      <c r="B35" s="72">
        <v>94400</v>
      </c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6" spans="1:13">
      <c r="A36" s="84"/>
      <c r="B36" s="84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</row>
    <row r="37" spans="1:13">
      <c r="A37" s="317" t="s">
        <v>583</v>
      </c>
      <c r="B37" s="317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</row>
    <row r="38" spans="1:13">
      <c r="A38" s="72" t="s">
        <v>455</v>
      </c>
      <c r="B38" s="72" t="s">
        <v>526</v>
      </c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</row>
    <row r="39" spans="1:13">
      <c r="A39" s="317" t="s">
        <v>584</v>
      </c>
      <c r="B39" s="317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</row>
    <row r="40" spans="1:13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</row>
    <row r="41" spans="1:13">
      <c r="A41" s="313" t="s">
        <v>587</v>
      </c>
      <c r="B41" s="313"/>
      <c r="C41" s="313"/>
      <c r="D41" s="313"/>
      <c r="E41" s="313"/>
      <c r="F41" s="313"/>
      <c r="G41" s="313"/>
      <c r="H41" s="313"/>
      <c r="I41" s="313"/>
      <c r="J41" s="313"/>
      <c r="K41" s="313"/>
      <c r="L41" s="313"/>
      <c r="M41" s="71"/>
    </row>
    <row r="42" spans="1:13" ht="78.75" customHeight="1">
      <c r="A42" s="304" t="s">
        <v>455</v>
      </c>
      <c r="B42" s="302" t="s">
        <v>577</v>
      </c>
      <c r="C42" s="304" t="s">
        <v>458</v>
      </c>
      <c r="D42" s="306" t="s">
        <v>578</v>
      </c>
      <c r="E42" s="307"/>
      <c r="F42" s="302" t="s">
        <v>586</v>
      </c>
      <c r="G42" s="302" t="s">
        <v>456</v>
      </c>
      <c r="H42" s="302" t="s">
        <v>689</v>
      </c>
      <c r="I42" s="302" t="s">
        <v>465</v>
      </c>
      <c r="J42" s="302" t="s">
        <v>452</v>
      </c>
      <c r="K42" s="302" t="s">
        <v>690</v>
      </c>
      <c r="L42" s="302" t="s">
        <v>453</v>
      </c>
      <c r="M42" s="71"/>
    </row>
    <row r="43" spans="1:13">
      <c r="A43" s="305"/>
      <c r="B43" s="303"/>
      <c r="C43" s="305"/>
      <c r="D43" s="72" t="s">
        <v>457</v>
      </c>
      <c r="E43" s="72" t="s">
        <v>458</v>
      </c>
      <c r="F43" s="303"/>
      <c r="G43" s="303"/>
      <c r="H43" s="303"/>
      <c r="I43" s="303"/>
      <c r="J43" s="303"/>
      <c r="K43" s="303"/>
      <c r="L43" s="303"/>
      <c r="M43" s="71"/>
    </row>
    <row r="44" spans="1:13">
      <c r="A44" s="72" t="s">
        <v>130</v>
      </c>
      <c r="B44" s="72">
        <v>40339.730000000003</v>
      </c>
      <c r="C44" s="72" t="s">
        <v>422</v>
      </c>
      <c r="D44" s="72">
        <v>40234.600000000006</v>
      </c>
      <c r="E44" s="72" t="s">
        <v>422</v>
      </c>
      <c r="F44" s="72">
        <v>38781.182530280726</v>
      </c>
      <c r="G44" s="72" t="s">
        <v>101</v>
      </c>
      <c r="H44" s="91">
        <f>F44</f>
        <v>38781.182530280726</v>
      </c>
      <c r="I44" s="73">
        <v>0.44600000000000001</v>
      </c>
      <c r="J44" s="72">
        <f>I44*H44</f>
        <v>17296.407408505205</v>
      </c>
      <c r="K44" s="74">
        <f>H44/$H$52*100</f>
        <v>2.7835070800005317</v>
      </c>
      <c r="L44" s="72">
        <f>J44/$J$52*100</f>
        <v>19.977250044179961</v>
      </c>
      <c r="M44" s="71"/>
    </row>
    <row r="45" spans="1:13">
      <c r="A45" s="72" t="s">
        <v>462</v>
      </c>
      <c r="B45" s="72">
        <v>14200</v>
      </c>
      <c r="C45" s="72" t="s">
        <v>221</v>
      </c>
      <c r="D45" s="72">
        <v>857910.17021276592</v>
      </c>
      <c r="E45" s="72" t="s">
        <v>221</v>
      </c>
      <c r="F45" s="72">
        <v>873961.66949744686</v>
      </c>
      <c r="G45" s="72">
        <v>35.94</v>
      </c>
      <c r="H45" s="72">
        <f>F45*G45/3600</f>
        <v>8725.0506671495095</v>
      </c>
      <c r="I45" s="73">
        <v>0.2</v>
      </c>
      <c r="J45" s="72">
        <f t="shared" ref="J45:J49" si="2">I45*H45</f>
        <v>1745.010133429902</v>
      </c>
      <c r="K45" s="74">
        <f t="shared" ref="K45:K51" si="3">H45/$H$52*100</f>
        <v>0.62623774523665154</v>
      </c>
      <c r="L45" s="72">
        <f t="shared" ref="L45:L51" si="4">J45/$J$52*100</f>
        <v>2.01547656353278</v>
      </c>
      <c r="M45" s="71"/>
    </row>
    <row r="46" spans="1:13">
      <c r="A46" s="72" t="s">
        <v>132</v>
      </c>
      <c r="B46" s="72">
        <v>8000</v>
      </c>
      <c r="C46" s="72" t="s">
        <v>222</v>
      </c>
      <c r="D46" s="72">
        <v>296893.61702127656</v>
      </c>
      <c r="E46" s="72" t="s">
        <v>222</v>
      </c>
      <c r="F46" s="72">
        <v>244839.25914893611</v>
      </c>
      <c r="G46" s="72">
        <v>40.19</v>
      </c>
      <c r="H46" s="72">
        <f>F46*G46/3600</f>
        <v>2733.3582847765947</v>
      </c>
      <c r="I46" s="73">
        <v>0.27</v>
      </c>
      <c r="J46" s="72">
        <f t="shared" si="2"/>
        <v>738.00673688968061</v>
      </c>
      <c r="K46" s="74">
        <f t="shared" si="3"/>
        <v>0.19618592424078632</v>
      </c>
      <c r="L46" s="72">
        <f t="shared" si="4"/>
        <v>0.85239349241303719</v>
      </c>
      <c r="M46" s="71"/>
    </row>
    <row r="47" spans="1:13">
      <c r="A47" s="72" t="s">
        <v>442</v>
      </c>
      <c r="B47" s="72">
        <v>550.5</v>
      </c>
      <c r="C47" s="72" t="s">
        <v>223</v>
      </c>
      <c r="D47" s="72">
        <v>19328.992021276594</v>
      </c>
      <c r="E47" s="72" t="s">
        <v>223</v>
      </c>
      <c r="F47" s="72">
        <v>15940.039850186165</v>
      </c>
      <c r="G47" s="72">
        <v>22.63</v>
      </c>
      <c r="H47" s="72">
        <f>(G47*F47)/3.6</f>
        <v>100200.86161380913</v>
      </c>
      <c r="I47" s="73">
        <v>0.318</v>
      </c>
      <c r="J47" s="72">
        <f t="shared" si="2"/>
        <v>31863.873993191304</v>
      </c>
      <c r="K47" s="74">
        <f t="shared" si="3"/>
        <v>7.1918850722619334</v>
      </c>
      <c r="L47" s="72">
        <f t="shared" si="4"/>
        <v>36.802589295232032</v>
      </c>
      <c r="M47" s="71"/>
    </row>
    <row r="48" spans="1:13">
      <c r="A48" s="72" t="s">
        <v>466</v>
      </c>
      <c r="B48" s="72">
        <v>361</v>
      </c>
      <c r="C48" s="72" t="s">
        <v>223</v>
      </c>
      <c r="D48" s="72">
        <v>12675.324468085108</v>
      </c>
      <c r="E48" s="72" t="s">
        <v>223</v>
      </c>
      <c r="F48" s="72">
        <v>12297.599798936171</v>
      </c>
      <c r="G48" s="72">
        <v>15.6</v>
      </c>
      <c r="H48" s="72">
        <f>(G48*F48)/3.6</f>
        <v>53289.599128723406</v>
      </c>
      <c r="I48" s="73">
        <v>0</v>
      </c>
      <c r="J48" s="72">
        <f t="shared" si="2"/>
        <v>0</v>
      </c>
      <c r="K48" s="74">
        <f t="shared" si="3"/>
        <v>3.8248440812595828</v>
      </c>
      <c r="L48" s="72">
        <f t="shared" si="4"/>
        <v>0</v>
      </c>
      <c r="M48" s="71"/>
    </row>
    <row r="49" spans="1:13">
      <c r="A49" s="72" t="s">
        <v>454</v>
      </c>
      <c r="B49" s="72">
        <v>49</v>
      </c>
      <c r="C49" s="72" t="s">
        <v>223</v>
      </c>
      <c r="D49" s="72">
        <v>1720.4734042553191</v>
      </c>
      <c r="E49" s="72" t="s">
        <v>223</v>
      </c>
      <c r="F49" s="72">
        <v>1836.1236264893616</v>
      </c>
      <c r="G49" s="72">
        <v>26.5</v>
      </c>
      <c r="H49" s="72">
        <f>(G49*F49)/3.6</f>
        <v>13515.910028324468</v>
      </c>
      <c r="I49" s="73">
        <v>0.313</v>
      </c>
      <c r="J49" s="72">
        <f t="shared" si="2"/>
        <v>4230.4798388655581</v>
      </c>
      <c r="K49" s="74">
        <f t="shared" si="3"/>
        <v>0.97010015687675333</v>
      </c>
      <c r="L49" s="72">
        <f t="shared" si="4"/>
        <v>4.886179629783781</v>
      </c>
      <c r="M49" s="71"/>
    </row>
    <row r="50" spans="1:13" ht="31.5">
      <c r="A50" s="76" t="s">
        <v>576</v>
      </c>
      <c r="B50" s="72">
        <v>98464.386899999998</v>
      </c>
      <c r="C50" s="72" t="s">
        <v>423</v>
      </c>
      <c r="D50" s="72">
        <v>98464.386899999998</v>
      </c>
      <c r="E50" s="72" t="s">
        <v>423</v>
      </c>
      <c r="F50" s="72">
        <v>105083.16298741801</v>
      </c>
      <c r="G50" s="72" t="s">
        <v>101</v>
      </c>
      <c r="H50" s="72">
        <f>F50*3.6</f>
        <v>378299.38675470481</v>
      </c>
      <c r="I50" s="73">
        <v>9.4E-2</v>
      </c>
      <c r="J50" s="72">
        <f>I50*F50</f>
        <v>9877.8173208172921</v>
      </c>
      <c r="K50" s="74">
        <f t="shared" si="3"/>
        <v>27.152318539265487</v>
      </c>
      <c r="L50" s="72">
        <f t="shared" si="4"/>
        <v>11.408821603708553</v>
      </c>
      <c r="M50" s="71"/>
    </row>
    <row r="51" spans="1:13" ht="32.25" thickBot="1">
      <c r="A51" s="76" t="s">
        <v>552</v>
      </c>
      <c r="B51" s="72">
        <v>207627.6</v>
      </c>
      <c r="C51" s="72" t="s">
        <v>423</v>
      </c>
      <c r="D51" s="72">
        <v>207627.6</v>
      </c>
      <c r="E51" s="72" t="s">
        <v>423</v>
      </c>
      <c r="F51" s="72">
        <v>221584.32727199999</v>
      </c>
      <c r="G51" s="72" t="s">
        <v>101</v>
      </c>
      <c r="H51" s="77">
        <f>F51*3.6</f>
        <v>797703.57817919995</v>
      </c>
      <c r="I51" s="73">
        <v>9.4E-2</v>
      </c>
      <c r="J51" s="77">
        <f>I51*F51</f>
        <v>20828.926763568001</v>
      </c>
      <c r="K51" s="78">
        <f t="shared" si="3"/>
        <v>57.254921400858258</v>
      </c>
      <c r="L51" s="77">
        <f t="shared" si="4"/>
        <v>24.057289371149864</v>
      </c>
      <c r="M51" s="71"/>
    </row>
    <row r="52" spans="1:13" ht="17.25" thickTop="1" thickBot="1">
      <c r="A52" s="92"/>
      <c r="B52" s="92"/>
      <c r="C52" s="92"/>
      <c r="D52" s="92"/>
      <c r="E52" s="92"/>
      <c r="F52" s="92"/>
      <c r="G52" s="92"/>
      <c r="H52" s="93">
        <f>SUM(H44:H51)</f>
        <v>1393248.9271869687</v>
      </c>
      <c r="I52" s="92"/>
      <c r="J52" s="80">
        <f>J51+J50+J49+J48+J47+J46+J45+J44</f>
        <v>86580.522195266938</v>
      </c>
      <c r="K52" s="81">
        <f>K51+K50+K49+K48+K47+K46+K45+K44</f>
        <v>99.999999999999986</v>
      </c>
      <c r="L52" s="82">
        <f>L51+L50+L49+L48+L47+L46+L45+L44</f>
        <v>100.00000000000003</v>
      </c>
      <c r="M52" s="71"/>
    </row>
    <row r="53" spans="1:13" ht="16.5" thickTop="1">
      <c r="A53" s="94"/>
      <c r="B53" s="84"/>
      <c r="C53" s="84"/>
      <c r="D53" s="84"/>
      <c r="E53" s="84"/>
      <c r="F53" s="84"/>
      <c r="G53" s="84"/>
      <c r="H53" s="84"/>
      <c r="I53" s="84"/>
      <c r="J53" s="84"/>
      <c r="K53" s="84"/>
      <c r="L53" s="71"/>
      <c r="M53" s="71"/>
    </row>
    <row r="54" spans="1:13" ht="15.75" customHeight="1">
      <c r="A54" s="313" t="s">
        <v>595</v>
      </c>
      <c r="B54" s="313"/>
      <c r="C54" s="313"/>
      <c r="D54" s="313"/>
      <c r="E54" s="313"/>
      <c r="F54" s="313"/>
      <c r="G54" s="313"/>
      <c r="H54" s="313"/>
      <c r="I54" s="313"/>
      <c r="J54" s="313"/>
      <c r="K54" s="313"/>
      <c r="L54" s="313"/>
      <c r="M54" s="71"/>
    </row>
    <row r="55" spans="1:13" ht="105" customHeight="1">
      <c r="A55" s="304" t="s">
        <v>455</v>
      </c>
      <c r="B55" s="302" t="s">
        <v>577</v>
      </c>
      <c r="C55" s="304" t="s">
        <v>458</v>
      </c>
      <c r="D55" s="306" t="s">
        <v>578</v>
      </c>
      <c r="E55" s="307"/>
      <c r="F55" s="302" t="s">
        <v>594</v>
      </c>
      <c r="G55" s="302" t="s">
        <v>456</v>
      </c>
      <c r="H55" s="302" t="s">
        <v>689</v>
      </c>
      <c r="I55" s="302" t="s">
        <v>465</v>
      </c>
      <c r="J55" s="302" t="s">
        <v>452</v>
      </c>
      <c r="K55" s="302" t="s">
        <v>690</v>
      </c>
      <c r="L55" s="302" t="s">
        <v>453</v>
      </c>
      <c r="M55" s="71"/>
    </row>
    <row r="56" spans="1:13">
      <c r="A56" s="305"/>
      <c r="B56" s="303"/>
      <c r="C56" s="305"/>
      <c r="D56" s="72" t="s">
        <v>457</v>
      </c>
      <c r="E56" s="72" t="s">
        <v>458</v>
      </c>
      <c r="F56" s="303"/>
      <c r="G56" s="303"/>
      <c r="H56" s="303"/>
      <c r="I56" s="303"/>
      <c r="J56" s="303"/>
      <c r="K56" s="303"/>
      <c r="L56" s="303"/>
      <c r="M56" s="71"/>
    </row>
    <row r="57" spans="1:13">
      <c r="A57" s="72" t="s">
        <v>130</v>
      </c>
      <c r="B57" s="72">
        <v>40339.730000000003</v>
      </c>
      <c r="C57" s="72" t="s">
        <v>422</v>
      </c>
      <c r="D57" s="72">
        <v>40234.600000000006</v>
      </c>
      <c r="E57" s="72" t="s">
        <v>422</v>
      </c>
      <c r="F57" s="72">
        <v>40532.251096616186</v>
      </c>
      <c r="G57" s="72" t="s">
        <v>101</v>
      </c>
      <c r="H57" s="91">
        <f>F57</f>
        <v>40532.251096616186</v>
      </c>
      <c r="I57" s="73">
        <v>0.44600000000000001</v>
      </c>
      <c r="J57" s="72">
        <f>I57*H57</f>
        <v>18077.38398909082</v>
      </c>
      <c r="K57" s="74">
        <f>H57/$H$65*100</f>
        <v>3.0250121466447255</v>
      </c>
      <c r="L57" s="72">
        <f>J57/$J$65*100</f>
        <v>22.452596384124867</v>
      </c>
      <c r="M57" s="71"/>
    </row>
    <row r="58" spans="1:13">
      <c r="A58" s="72" t="s">
        <v>462</v>
      </c>
      <c r="B58" s="72">
        <v>14200</v>
      </c>
      <c r="C58" s="72" t="s">
        <v>221</v>
      </c>
      <c r="D58" s="72">
        <v>857910.17021276592</v>
      </c>
      <c r="E58" s="72" t="s">
        <v>221</v>
      </c>
      <c r="F58" s="72">
        <v>851690.32147872332</v>
      </c>
      <c r="G58" s="72">
        <v>35.94</v>
      </c>
      <c r="H58" s="72">
        <f>F58*G58/3600</f>
        <v>8502.7083760959213</v>
      </c>
      <c r="I58" s="73">
        <v>0.2</v>
      </c>
      <c r="J58" s="72">
        <f t="shared" ref="J58:J62" si="5">I58*H58</f>
        <v>1700.5416752191843</v>
      </c>
      <c r="K58" s="74">
        <f t="shared" ref="K58:K64" si="6">H58/$H$65*100</f>
        <v>0.63457605785964588</v>
      </c>
      <c r="L58" s="72">
        <f t="shared" ref="L58:L64" si="7">J58/$J$65*100</f>
        <v>2.1121184288125638</v>
      </c>
      <c r="M58" s="71"/>
    </row>
    <row r="59" spans="1:13">
      <c r="A59" s="72" t="s">
        <v>132</v>
      </c>
      <c r="B59" s="72">
        <v>8000</v>
      </c>
      <c r="C59" s="72" t="s">
        <v>222</v>
      </c>
      <c r="D59" s="72">
        <v>296893.61702127656</v>
      </c>
      <c r="E59" s="72" t="s">
        <v>222</v>
      </c>
      <c r="F59" s="72">
        <v>200959.86702127656</v>
      </c>
      <c r="G59" s="72">
        <v>40.19</v>
      </c>
      <c r="H59" s="72">
        <f>F59*G59/3600</f>
        <v>2243.4936265514179</v>
      </c>
      <c r="I59" s="73">
        <v>0.27</v>
      </c>
      <c r="J59" s="72">
        <f t="shared" si="5"/>
        <v>605.74327916888285</v>
      </c>
      <c r="K59" s="74">
        <f t="shared" si="6"/>
        <v>0.16743692461247581</v>
      </c>
      <c r="L59" s="72">
        <f t="shared" si="7"/>
        <v>0.7523494200146833</v>
      </c>
      <c r="M59" s="71"/>
    </row>
    <row r="60" spans="1:13">
      <c r="A60" s="72" t="s">
        <v>442</v>
      </c>
      <c r="B60" s="72">
        <v>550.5</v>
      </c>
      <c r="C60" s="72" t="s">
        <v>223</v>
      </c>
      <c r="D60" s="72">
        <v>19328.992021276594</v>
      </c>
      <c r="E60" s="72" t="s">
        <v>223</v>
      </c>
      <c r="F60" s="72">
        <v>13083.311474401591</v>
      </c>
      <c r="G60" s="72">
        <v>22.63</v>
      </c>
      <c r="H60" s="72">
        <f>(G60*F60)/3.6</f>
        <v>82243.149629363324</v>
      </c>
      <c r="I60" s="73">
        <v>0.318</v>
      </c>
      <c r="J60" s="72">
        <f t="shared" si="5"/>
        <v>26153.321582137538</v>
      </c>
      <c r="K60" s="74">
        <f t="shared" si="6"/>
        <v>6.1379893757717667</v>
      </c>
      <c r="L60" s="72">
        <f t="shared" si="7"/>
        <v>32.483127754675145</v>
      </c>
      <c r="M60" s="71"/>
    </row>
    <row r="61" spans="1:13">
      <c r="A61" s="72" t="s">
        <v>466</v>
      </c>
      <c r="B61" s="72">
        <v>361</v>
      </c>
      <c r="C61" s="72" t="s">
        <v>223</v>
      </c>
      <c r="D61" s="72">
        <v>12675.324468085108</v>
      </c>
      <c r="E61" s="72" t="s">
        <v>223</v>
      </c>
      <c r="F61" s="72">
        <v>11439.480332446808</v>
      </c>
      <c r="G61" s="72">
        <v>15.6</v>
      </c>
      <c r="H61" s="72">
        <f>(G61*F61)/3.6</f>
        <v>49571.081440602829</v>
      </c>
      <c r="I61" s="73">
        <v>0</v>
      </c>
      <c r="J61" s="72">
        <f t="shared" si="5"/>
        <v>0</v>
      </c>
      <c r="K61" s="74">
        <f t="shared" si="6"/>
        <v>3.699600180673341</v>
      </c>
      <c r="L61" s="72">
        <f t="shared" si="7"/>
        <v>0</v>
      </c>
      <c r="M61" s="71"/>
    </row>
    <row r="62" spans="1:13">
      <c r="A62" s="72" t="s">
        <v>454</v>
      </c>
      <c r="B62" s="72">
        <v>49</v>
      </c>
      <c r="C62" s="72" t="s">
        <v>223</v>
      </c>
      <c r="D62" s="72">
        <v>1720.4734042553191</v>
      </c>
      <c r="E62" s="72" t="s">
        <v>223</v>
      </c>
      <c r="F62" s="72">
        <v>1785.636334441489</v>
      </c>
      <c r="G62" s="72">
        <v>26.5</v>
      </c>
      <c r="H62" s="72">
        <f>(G62*F62)/3.6</f>
        <v>13144.267461860962</v>
      </c>
      <c r="I62" s="73">
        <v>0.313</v>
      </c>
      <c r="J62" s="72">
        <f t="shared" si="5"/>
        <v>4114.1557155624814</v>
      </c>
      <c r="K62" s="74">
        <f t="shared" si="6"/>
        <v>0.98098594711893317</v>
      </c>
      <c r="L62" s="72">
        <f t="shared" si="7"/>
        <v>5.109891884727876</v>
      </c>
      <c r="M62" s="71"/>
    </row>
    <row r="63" spans="1:13" ht="31.5">
      <c r="A63" s="76" t="s">
        <v>576</v>
      </c>
      <c r="B63" s="72">
        <v>98464.386899999998</v>
      </c>
      <c r="C63" s="72" t="s">
        <v>423</v>
      </c>
      <c r="D63" s="72">
        <v>98464.386899999998</v>
      </c>
      <c r="E63" s="72" t="s">
        <v>423</v>
      </c>
      <c r="F63" s="72">
        <v>102193.72555383747</v>
      </c>
      <c r="G63" s="72" t="s">
        <v>101</v>
      </c>
      <c r="H63" s="72">
        <f>F63*3.6</f>
        <v>367897.41199381492</v>
      </c>
      <c r="I63" s="73">
        <v>9.4E-2</v>
      </c>
      <c r="J63" s="72">
        <f>I63*F63</f>
        <v>9606.2102020607217</v>
      </c>
      <c r="K63" s="74">
        <f t="shared" si="6"/>
        <v>27.457003001083212</v>
      </c>
      <c r="L63" s="72">
        <f t="shared" si="7"/>
        <v>11.931171046545854</v>
      </c>
      <c r="M63" s="71"/>
    </row>
    <row r="64" spans="1:13" ht="32.25" thickBot="1">
      <c r="A64" s="76" t="s">
        <v>552</v>
      </c>
      <c r="B64" s="72">
        <v>207627.6</v>
      </c>
      <c r="C64" s="72" t="s">
        <v>423</v>
      </c>
      <c r="D64" s="72">
        <v>207627.6</v>
      </c>
      <c r="E64" s="72" t="s">
        <v>423</v>
      </c>
      <c r="F64" s="72">
        <v>215491.49534999998</v>
      </c>
      <c r="G64" s="72" t="s">
        <v>101</v>
      </c>
      <c r="H64" s="77">
        <f>F64*3.6</f>
        <v>775769.38325999992</v>
      </c>
      <c r="I64" s="73">
        <v>9.4E-2</v>
      </c>
      <c r="J64" s="77">
        <f>I64*F64</f>
        <v>20256.200562899998</v>
      </c>
      <c r="K64" s="78">
        <f t="shared" si="6"/>
        <v>57.897396366235895</v>
      </c>
      <c r="L64" s="77">
        <f t="shared" si="7"/>
        <v>25.158745081099003</v>
      </c>
      <c r="M64" s="71"/>
    </row>
    <row r="65" spans="1:13" ht="17.25" thickTop="1" thickBot="1">
      <c r="A65" s="92"/>
      <c r="B65" s="92"/>
      <c r="C65" s="92"/>
      <c r="D65" s="92"/>
      <c r="E65" s="92"/>
      <c r="F65" s="92"/>
      <c r="G65" s="92"/>
      <c r="H65" s="93">
        <f>SUM(H57:H64)</f>
        <v>1339903.7468849055</v>
      </c>
      <c r="I65" s="92"/>
      <c r="J65" s="80">
        <f>J64+J63+J62+J61+J60+J59+J58+J57</f>
        <v>80513.557006139628</v>
      </c>
      <c r="K65" s="81">
        <f>K64+K63+K62+K61+K60+K59+K58+K57</f>
        <v>100</v>
      </c>
      <c r="L65" s="82">
        <f>L64+L63+L62+L61+L60+L59+L58+L57</f>
        <v>99.999999999999972</v>
      </c>
      <c r="M65" s="71"/>
    </row>
    <row r="66" spans="1:13" ht="15.75" customHeight="1" thickTop="1">
      <c r="A66" s="84"/>
      <c r="B66" s="84"/>
      <c r="C66" s="84"/>
      <c r="D66" s="84"/>
      <c r="E66" s="84"/>
      <c r="F66" s="84"/>
      <c r="G66" s="84"/>
      <c r="H66" s="84"/>
      <c r="I66" s="84"/>
      <c r="J66" s="84"/>
      <c r="K66" s="84"/>
      <c r="L66" s="71"/>
      <c r="M66" s="71"/>
    </row>
    <row r="67" spans="1:13">
      <c r="A67" s="313" t="s">
        <v>597</v>
      </c>
      <c r="B67" s="313"/>
      <c r="C67" s="313"/>
      <c r="D67" s="313"/>
      <c r="E67" s="313"/>
      <c r="F67" s="313"/>
      <c r="G67" s="313"/>
      <c r="H67" s="313"/>
      <c r="I67" s="313"/>
      <c r="J67" s="313"/>
      <c r="K67" s="313"/>
      <c r="L67" s="313"/>
      <c r="M67" s="71"/>
    </row>
    <row r="68" spans="1:13" ht="99" customHeight="1">
      <c r="A68" s="304" t="s">
        <v>455</v>
      </c>
      <c r="B68" s="302" t="s">
        <v>577</v>
      </c>
      <c r="C68" s="304" t="s">
        <v>458</v>
      </c>
      <c r="D68" s="306" t="s">
        <v>578</v>
      </c>
      <c r="E68" s="307"/>
      <c r="F68" s="302" t="s">
        <v>596</v>
      </c>
      <c r="G68" s="302" t="s">
        <v>456</v>
      </c>
      <c r="H68" s="302" t="s">
        <v>689</v>
      </c>
      <c r="I68" s="302" t="s">
        <v>465</v>
      </c>
      <c r="J68" s="302" t="s">
        <v>452</v>
      </c>
      <c r="K68" s="302" t="s">
        <v>690</v>
      </c>
      <c r="L68" s="302" t="s">
        <v>453</v>
      </c>
      <c r="M68" s="71"/>
    </row>
    <row r="69" spans="1:13">
      <c r="A69" s="305"/>
      <c r="B69" s="303"/>
      <c r="C69" s="305"/>
      <c r="D69" s="72" t="s">
        <v>457</v>
      </c>
      <c r="E69" s="72" t="s">
        <v>458</v>
      </c>
      <c r="F69" s="303"/>
      <c r="G69" s="303"/>
      <c r="H69" s="303"/>
      <c r="I69" s="303"/>
      <c r="J69" s="303"/>
      <c r="K69" s="303"/>
      <c r="L69" s="303"/>
      <c r="M69" s="71"/>
    </row>
    <row r="70" spans="1:13" ht="16.5" customHeight="1">
      <c r="A70" s="72" t="s">
        <v>130</v>
      </c>
      <c r="B70" s="72">
        <v>40339.730000000003</v>
      </c>
      <c r="C70" s="72" t="s">
        <v>422</v>
      </c>
      <c r="D70" s="72">
        <v>40234.600000000006</v>
      </c>
      <c r="E70" s="72" t="s">
        <v>422</v>
      </c>
      <c r="F70" s="72">
        <v>41143.444313487213</v>
      </c>
      <c r="G70" s="72" t="s">
        <v>101</v>
      </c>
      <c r="H70" s="91">
        <f>F70</f>
        <v>41143.444313487213</v>
      </c>
      <c r="I70" s="73">
        <v>0.44600000000000001</v>
      </c>
      <c r="J70" s="72">
        <f>I70*H70</f>
        <v>18349.976163815296</v>
      </c>
      <c r="K70" s="74">
        <f>H70/$H$78*100</f>
        <v>3.3107679206240048</v>
      </c>
      <c r="L70" s="72">
        <f>J70/$J$78*100</f>
        <v>25.282452125769737</v>
      </c>
      <c r="M70" s="71"/>
    </row>
    <row r="71" spans="1:13">
      <c r="A71" s="72" t="s">
        <v>462</v>
      </c>
      <c r="B71" s="72">
        <v>14200</v>
      </c>
      <c r="C71" s="72" t="s">
        <v>221</v>
      </c>
      <c r="D71" s="72">
        <v>857910.17021276592</v>
      </c>
      <c r="E71" s="72" t="s">
        <v>221</v>
      </c>
      <c r="F71" s="72">
        <v>799143.32355319138</v>
      </c>
      <c r="G71" s="72">
        <v>35.94</v>
      </c>
      <c r="H71" s="72">
        <f>F71*G71/3600</f>
        <v>7978.1141801393605</v>
      </c>
      <c r="I71" s="73">
        <v>0.2</v>
      </c>
      <c r="J71" s="72">
        <f t="shared" ref="J71:J75" si="8">I71*H71</f>
        <v>1595.6228360278722</v>
      </c>
      <c r="K71" s="74">
        <f t="shared" ref="K71:K77" si="9">H71/$H$78*100</f>
        <v>0.64199011374510084</v>
      </c>
      <c r="L71" s="72">
        <f t="shared" ref="L71:L77" si="10">J71/$J$78*100</f>
        <v>2.1984365321525265</v>
      </c>
      <c r="M71" s="71"/>
    </row>
    <row r="72" spans="1:13">
      <c r="A72" s="72" t="s">
        <v>132</v>
      </c>
      <c r="B72" s="72">
        <v>8000</v>
      </c>
      <c r="C72" s="72" t="s">
        <v>222</v>
      </c>
      <c r="D72" s="72">
        <v>296893.61702127656</v>
      </c>
      <c r="E72" s="72" t="s">
        <v>222</v>
      </c>
      <c r="F72" s="72">
        <v>156314.48936170209</v>
      </c>
      <c r="G72" s="72">
        <v>40.19</v>
      </c>
      <c r="H72" s="72">
        <f>F72*G72/3600</f>
        <v>1745.0775909574461</v>
      </c>
      <c r="I72" s="73">
        <v>0.27</v>
      </c>
      <c r="J72" s="72">
        <f t="shared" si="8"/>
        <v>471.17094955851047</v>
      </c>
      <c r="K72" s="74">
        <f t="shared" si="9"/>
        <v>0.14042448325717341</v>
      </c>
      <c r="L72" s="72">
        <f t="shared" si="10"/>
        <v>0.64917561030715332</v>
      </c>
      <c r="M72" s="71"/>
    </row>
    <row r="73" spans="1:13">
      <c r="A73" s="72" t="s">
        <v>442</v>
      </c>
      <c r="B73" s="72">
        <v>550.5</v>
      </c>
      <c r="C73" s="72" t="s">
        <v>223</v>
      </c>
      <c r="D73" s="72">
        <v>19328.992021276594</v>
      </c>
      <c r="E73" s="72" t="s">
        <v>223</v>
      </c>
      <c r="F73" s="72">
        <v>10176.714299202129</v>
      </c>
      <c r="G73" s="72">
        <v>22.63</v>
      </c>
      <c r="H73" s="72">
        <f>(G73*F73)/3.6</f>
        <v>63971.95683081782</v>
      </c>
      <c r="I73" s="73">
        <v>0.318</v>
      </c>
      <c r="J73" s="72">
        <f t="shared" si="8"/>
        <v>20343.082272200067</v>
      </c>
      <c r="K73" s="74">
        <f t="shared" si="9"/>
        <v>5.1477533305491026</v>
      </c>
      <c r="L73" s="72">
        <f t="shared" si="10"/>
        <v>28.028537968986445</v>
      </c>
      <c r="M73" s="71"/>
    </row>
    <row r="74" spans="1:13">
      <c r="A74" s="72" t="s">
        <v>466</v>
      </c>
      <c r="B74" s="72">
        <v>361</v>
      </c>
      <c r="C74" s="72" t="s">
        <v>223</v>
      </c>
      <c r="D74" s="72">
        <v>12675.324468085108</v>
      </c>
      <c r="E74" s="72" t="s">
        <v>223</v>
      </c>
      <c r="F74" s="72">
        <v>10267.012819148937</v>
      </c>
      <c r="G74" s="72">
        <v>15.6</v>
      </c>
      <c r="H74" s="72">
        <f>(G74*F74)/3.6</f>
        <v>44490.388882978725</v>
      </c>
      <c r="I74" s="73">
        <v>0</v>
      </c>
      <c r="J74" s="72">
        <f t="shared" si="8"/>
        <v>0</v>
      </c>
      <c r="K74" s="74">
        <f t="shared" si="9"/>
        <v>3.5800928859416699</v>
      </c>
      <c r="L74" s="72">
        <f t="shared" si="10"/>
        <v>0</v>
      </c>
      <c r="M74" s="71"/>
    </row>
    <row r="75" spans="1:13">
      <c r="A75" s="72" t="s">
        <v>454</v>
      </c>
      <c r="B75" s="72">
        <v>49</v>
      </c>
      <c r="C75" s="72" t="s">
        <v>223</v>
      </c>
      <c r="D75" s="72">
        <v>1720.4734042553191</v>
      </c>
      <c r="E75" s="72" t="s">
        <v>223</v>
      </c>
      <c r="F75" s="72">
        <v>1672.3001489361702</v>
      </c>
      <c r="G75" s="72">
        <v>26.5</v>
      </c>
      <c r="H75" s="72">
        <f>(G75*F75)/3.6</f>
        <v>12309.987207446809</v>
      </c>
      <c r="I75" s="73">
        <v>0.313</v>
      </c>
      <c r="J75" s="72">
        <f t="shared" si="8"/>
        <v>3853.0259959308514</v>
      </c>
      <c r="K75" s="74">
        <f t="shared" si="9"/>
        <v>0.99057119377695679</v>
      </c>
      <c r="L75" s="72">
        <f t="shared" si="10"/>
        <v>5.308668764026006</v>
      </c>
      <c r="M75" s="71"/>
    </row>
    <row r="76" spans="1:13" ht="31.5">
      <c r="A76" s="76" t="s">
        <v>576</v>
      </c>
      <c r="B76" s="72">
        <v>98464.386899999998</v>
      </c>
      <c r="C76" s="72" t="s">
        <v>423</v>
      </c>
      <c r="D76" s="72">
        <v>98464.386899999998</v>
      </c>
      <c r="E76" s="72" t="s">
        <v>423</v>
      </c>
      <c r="F76" s="72">
        <v>95707.38406679999</v>
      </c>
      <c r="G76" s="72" t="s">
        <v>101</v>
      </c>
      <c r="H76" s="72">
        <f>F76*3.6</f>
        <v>344546.58264047996</v>
      </c>
      <c r="I76" s="73">
        <v>9.4E-2</v>
      </c>
      <c r="J76" s="72">
        <f>I76*F76</f>
        <v>8996.4941022791991</v>
      </c>
      <c r="K76" s="74">
        <f t="shared" si="9"/>
        <v>27.725286300174723</v>
      </c>
      <c r="L76" s="72">
        <f t="shared" si="10"/>
        <v>12.395298468515934</v>
      </c>
      <c r="M76" s="71"/>
    </row>
    <row r="77" spans="1:13" ht="32.25" thickBot="1">
      <c r="A77" s="76" t="s">
        <v>552</v>
      </c>
      <c r="B77" s="72">
        <v>207627.6</v>
      </c>
      <c r="C77" s="72" t="s">
        <v>423</v>
      </c>
      <c r="D77" s="72">
        <v>207627.6</v>
      </c>
      <c r="E77" s="72" t="s">
        <v>423</v>
      </c>
      <c r="F77" s="72">
        <v>201814.02719999998</v>
      </c>
      <c r="G77" s="72" t="s">
        <v>101</v>
      </c>
      <c r="H77" s="77">
        <f>F77*3.6</f>
        <v>726530.49791999999</v>
      </c>
      <c r="I77" s="73">
        <v>9.4E-2</v>
      </c>
      <c r="J77" s="77">
        <f>I77*F77</f>
        <v>18970.518556799998</v>
      </c>
      <c r="K77" s="78">
        <f t="shared" si="9"/>
        <v>58.463113771931262</v>
      </c>
      <c r="L77" s="77">
        <f t="shared" si="10"/>
        <v>26.137430530242188</v>
      </c>
      <c r="M77" s="71"/>
    </row>
    <row r="78" spans="1:13" ht="17.25" thickTop="1" thickBot="1">
      <c r="A78" s="92"/>
      <c r="B78" s="92"/>
      <c r="C78" s="92"/>
      <c r="D78" s="92"/>
      <c r="E78" s="92"/>
      <c r="F78" s="92"/>
      <c r="G78" s="92"/>
      <c r="H78" s="93">
        <f>SUM(H70:H77)</f>
        <v>1242716.0495663073</v>
      </c>
      <c r="I78" s="92"/>
      <c r="J78" s="80">
        <f>J77+J76+J75+J74+J73+J72+J71+J70</f>
        <v>72579.890876611797</v>
      </c>
      <c r="K78" s="81">
        <f>K77+K76+K75+K74+K73+K72+K71+K70</f>
        <v>100</v>
      </c>
      <c r="L78" s="82">
        <f>L77+L76+L75+L74+L73+L72+L71+L70</f>
        <v>99.999999999999986</v>
      </c>
      <c r="M78" s="71"/>
    </row>
    <row r="79" spans="1:13" ht="16.5" thickTop="1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</row>
    <row r="80" spans="1:13" ht="15.75" customHeight="1">
      <c r="A80" s="314" t="s">
        <v>647</v>
      </c>
      <c r="B80" s="314"/>
      <c r="C80" s="314"/>
      <c r="D80" s="314"/>
      <c r="E80" s="314"/>
      <c r="F80" s="314"/>
      <c r="G80" s="314"/>
      <c r="H80" s="314"/>
      <c r="I80" s="314"/>
      <c r="J80" s="314"/>
      <c r="K80" s="314"/>
      <c r="L80" s="71"/>
      <c r="M80" s="71"/>
    </row>
    <row r="81" spans="1:13" ht="99.75" customHeight="1">
      <c r="A81" s="309" t="s">
        <v>455</v>
      </c>
      <c r="B81" s="311" t="s">
        <v>577</v>
      </c>
      <c r="C81" s="309" t="s">
        <v>458</v>
      </c>
      <c r="D81" s="315" t="s">
        <v>578</v>
      </c>
      <c r="E81" s="316"/>
      <c r="F81" s="311" t="s">
        <v>456</v>
      </c>
      <c r="G81" s="311" t="s">
        <v>689</v>
      </c>
      <c r="H81" s="311" t="s">
        <v>598</v>
      </c>
      <c r="I81" s="311" t="s">
        <v>599</v>
      </c>
      <c r="J81" s="311" t="s">
        <v>690</v>
      </c>
      <c r="K81" s="311" t="s">
        <v>600</v>
      </c>
      <c r="L81" s="71"/>
      <c r="M81" s="71"/>
    </row>
    <row r="82" spans="1:13">
      <c r="A82" s="310"/>
      <c r="B82" s="312"/>
      <c r="C82" s="310"/>
      <c r="D82" s="95" t="s">
        <v>457</v>
      </c>
      <c r="E82" s="95" t="s">
        <v>458</v>
      </c>
      <c r="F82" s="312"/>
      <c r="G82" s="312"/>
      <c r="H82" s="312"/>
      <c r="I82" s="312"/>
      <c r="J82" s="312"/>
      <c r="K82" s="312"/>
      <c r="L82" s="71"/>
      <c r="M82" s="71"/>
    </row>
    <row r="83" spans="1:13">
      <c r="A83" s="95" t="s">
        <v>130</v>
      </c>
      <c r="B83" s="95">
        <v>40339.730000000003</v>
      </c>
      <c r="C83" s="95" t="s">
        <v>422</v>
      </c>
      <c r="D83" s="95">
        <v>40234.600000000006</v>
      </c>
      <c r="E83" s="95" t="s">
        <v>422</v>
      </c>
      <c r="F83" s="95" t="s">
        <v>101</v>
      </c>
      <c r="G83" s="91">
        <f>D83</f>
        <v>40234.600000000006</v>
      </c>
      <c r="H83" s="96">
        <v>4.92</v>
      </c>
      <c r="I83" s="95">
        <f>H83*G83</f>
        <v>197954.23200000002</v>
      </c>
      <c r="J83" s="97">
        <f>G83/$G$91*100</f>
        <v>2.9955621086256112</v>
      </c>
      <c r="K83" s="95">
        <f>I83/$I$91*100</f>
        <v>7.4626312225890432</v>
      </c>
      <c r="L83" s="71"/>
      <c r="M83" s="71"/>
    </row>
    <row r="84" spans="1:13">
      <c r="A84" s="95" t="s">
        <v>462</v>
      </c>
      <c r="B84" s="95">
        <v>14200</v>
      </c>
      <c r="C84" s="95" t="s">
        <v>221</v>
      </c>
      <c r="D84" s="95">
        <v>857910.17021276592</v>
      </c>
      <c r="E84" s="95" t="s">
        <v>221</v>
      </c>
      <c r="F84" s="95">
        <v>35.94</v>
      </c>
      <c r="G84" s="72">
        <f>D84*F84/3600</f>
        <v>8564.80319929078</v>
      </c>
      <c r="H84" s="96">
        <v>0.42</v>
      </c>
      <c r="I84" s="95">
        <f t="shared" ref="I84:I90" si="11">H84*G84</f>
        <v>3597.2173437021274</v>
      </c>
      <c r="J84" s="97">
        <f t="shared" ref="J84:J90" si="12">G84/$G$91*100</f>
        <v>0.63767006336911181</v>
      </c>
      <c r="K84" s="95">
        <f t="shared" ref="K84:K90" si="13">I84/$I$91*100</f>
        <v>0.13561067218583289</v>
      </c>
      <c r="L84" s="71"/>
      <c r="M84" s="71"/>
    </row>
    <row r="85" spans="1:13">
      <c r="A85" s="95" t="s">
        <v>132</v>
      </c>
      <c r="B85" s="95">
        <v>8000</v>
      </c>
      <c r="C85" s="95" t="s">
        <v>221</v>
      </c>
      <c r="D85" s="95">
        <v>296893.61702127656</v>
      </c>
      <c r="E85" s="95" t="s">
        <v>221</v>
      </c>
      <c r="F85" s="95">
        <v>40.19</v>
      </c>
      <c r="G85" s="72">
        <f>D85*F85/3600</f>
        <v>3314.4873522458624</v>
      </c>
      <c r="H85" s="96">
        <v>3.26</v>
      </c>
      <c r="I85" s="95">
        <f t="shared" si="11"/>
        <v>10805.228768321511</v>
      </c>
      <c r="J85" s="97">
        <f t="shared" si="12"/>
        <v>0.24677150318150382</v>
      </c>
      <c r="K85" s="95">
        <f t="shared" si="13"/>
        <v>0.40734384286208863</v>
      </c>
      <c r="L85" s="71"/>
      <c r="M85" s="71"/>
    </row>
    <row r="86" spans="1:13">
      <c r="A86" s="95" t="s">
        <v>442</v>
      </c>
      <c r="B86" s="95">
        <v>550.5</v>
      </c>
      <c r="C86" s="95" t="s">
        <v>223</v>
      </c>
      <c r="D86" s="95">
        <v>19328.992021276594</v>
      </c>
      <c r="E86" s="95" t="s">
        <v>223</v>
      </c>
      <c r="F86" s="95">
        <v>22.63</v>
      </c>
      <c r="G86" s="72">
        <f>(F86*D86)/3.6</f>
        <v>121504.19151152481</v>
      </c>
      <c r="H86" s="96">
        <v>3.56</v>
      </c>
      <c r="I86" s="95">
        <f t="shared" si="11"/>
        <v>432554.92178102833</v>
      </c>
      <c r="J86" s="97">
        <f t="shared" si="12"/>
        <v>9.0462773864065582</v>
      </c>
      <c r="K86" s="95">
        <f t="shared" si="13"/>
        <v>16.306788857980379</v>
      </c>
      <c r="L86" s="71"/>
      <c r="M86" s="71"/>
    </row>
    <row r="87" spans="1:13">
      <c r="A87" s="95" t="s">
        <v>466</v>
      </c>
      <c r="B87" s="95">
        <v>361</v>
      </c>
      <c r="C87" s="95" t="s">
        <v>223</v>
      </c>
      <c r="D87" s="95">
        <v>12675.324468085108</v>
      </c>
      <c r="E87" s="95" t="s">
        <v>223</v>
      </c>
      <c r="F87" s="95">
        <v>15.6</v>
      </c>
      <c r="G87" s="72">
        <f>(F87*D87)/3.6</f>
        <v>54926.406028368801</v>
      </c>
      <c r="H87" s="96">
        <v>2.83</v>
      </c>
      <c r="I87" s="95">
        <f t="shared" si="11"/>
        <v>155441.72906028372</v>
      </c>
      <c r="J87" s="97">
        <f t="shared" si="12"/>
        <v>4.0894021727957259</v>
      </c>
      <c r="K87" s="95">
        <f t="shared" si="13"/>
        <v>5.859962117801552</v>
      </c>
      <c r="L87" s="71"/>
      <c r="M87" s="71"/>
    </row>
    <row r="88" spans="1:13">
      <c r="A88" s="95" t="s">
        <v>454</v>
      </c>
      <c r="B88" s="95">
        <v>49</v>
      </c>
      <c r="C88" s="95" t="s">
        <v>223</v>
      </c>
      <c r="D88" s="95">
        <v>1720.4734042553191</v>
      </c>
      <c r="E88" s="95" t="s">
        <v>223</v>
      </c>
      <c r="F88" s="95">
        <v>26.5</v>
      </c>
      <c r="G88" s="72">
        <f>(F88*D88)/3.6</f>
        <v>12664.595892434989</v>
      </c>
      <c r="H88" s="96">
        <v>3.56</v>
      </c>
      <c r="I88" s="95">
        <f t="shared" si="11"/>
        <v>45085.961377068561</v>
      </c>
      <c r="J88" s="97">
        <f t="shared" si="12"/>
        <v>0.94290942562952795</v>
      </c>
      <c r="K88" s="95">
        <f t="shared" si="13"/>
        <v>1.6996853246004635</v>
      </c>
      <c r="L88" s="71"/>
      <c r="M88" s="71"/>
    </row>
    <row r="89" spans="1:13" ht="31.5">
      <c r="A89" s="98" t="s">
        <v>576</v>
      </c>
      <c r="B89" s="95">
        <v>98464.386899999998</v>
      </c>
      <c r="C89" s="95" t="s">
        <v>423</v>
      </c>
      <c r="D89" s="95">
        <v>98464.386899999998</v>
      </c>
      <c r="E89" s="95" t="s">
        <v>423</v>
      </c>
      <c r="F89" s="95" t="s">
        <v>101</v>
      </c>
      <c r="G89" s="72">
        <f>D89*3.6</f>
        <v>354471.79284000001</v>
      </c>
      <c r="H89" s="96">
        <v>1.64</v>
      </c>
      <c r="I89" s="95">
        <f t="shared" si="11"/>
        <v>581333.74025759997</v>
      </c>
      <c r="J89" s="97">
        <f t="shared" si="12"/>
        <v>26.391271970097659</v>
      </c>
      <c r="K89" s="95">
        <f t="shared" si="13"/>
        <v>21.91556743677414</v>
      </c>
      <c r="L89" s="71"/>
      <c r="M89" s="71"/>
    </row>
    <row r="90" spans="1:13" ht="32.25" thickBot="1">
      <c r="A90" s="98" t="s">
        <v>552</v>
      </c>
      <c r="B90" s="95">
        <v>207627.6</v>
      </c>
      <c r="C90" s="95" t="s">
        <v>423</v>
      </c>
      <c r="D90" s="95">
        <v>207627.6</v>
      </c>
      <c r="E90" s="95" t="s">
        <v>423</v>
      </c>
      <c r="F90" s="95" t="s">
        <v>101</v>
      </c>
      <c r="G90" s="77">
        <f>D90*3.6</f>
        <v>747459.36</v>
      </c>
      <c r="H90" s="96">
        <v>1.64</v>
      </c>
      <c r="I90" s="99">
        <f t="shared" si="11"/>
        <v>1225833.3503999999</v>
      </c>
      <c r="J90" s="100">
        <f t="shared" si="12"/>
        <v>55.650135369894308</v>
      </c>
      <c r="K90" s="99">
        <f t="shared" si="13"/>
        <v>46.212410525206515</v>
      </c>
      <c r="L90" s="71"/>
      <c r="M90" s="71"/>
    </row>
    <row r="91" spans="1:13" ht="16.5" thickBot="1">
      <c r="A91" s="101"/>
      <c r="B91" s="101"/>
      <c r="C91" s="101"/>
      <c r="D91" s="101"/>
      <c r="E91" s="101"/>
      <c r="F91" s="101"/>
      <c r="G91" s="79">
        <v>1343140.2368238652</v>
      </c>
      <c r="H91" s="101"/>
      <c r="I91" s="80">
        <f>I90+I89+I88+I87+I86+I85+I84+I83</f>
        <v>2652606.3809880037</v>
      </c>
      <c r="J91" s="81">
        <f>J90+J89+J88+J87+J86+J85+J84+J83</f>
        <v>100</v>
      </c>
      <c r="K91" s="82">
        <f>K90+K89+K88+K87+K86+K85+K84+K83</f>
        <v>100.00000000000003</v>
      </c>
      <c r="L91" s="71"/>
      <c r="M91" s="71"/>
    </row>
    <row r="92" spans="1:13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</row>
    <row r="93" spans="1:13">
      <c r="A93" s="308" t="s">
        <v>608</v>
      </c>
      <c r="B93" s="308"/>
      <c r="C93" s="308"/>
      <c r="D93" s="308"/>
      <c r="E93" s="308"/>
      <c r="F93" s="308"/>
      <c r="G93" s="308"/>
      <c r="H93" s="308"/>
      <c r="I93" s="308"/>
      <c r="J93" s="308"/>
      <c r="K93" s="308"/>
      <c r="L93" s="308"/>
      <c r="M93" s="71"/>
    </row>
    <row r="94" spans="1:13" ht="97.5" customHeight="1">
      <c r="A94" s="304" t="s">
        <v>455</v>
      </c>
      <c r="B94" s="302" t="s">
        <v>577</v>
      </c>
      <c r="C94" s="304" t="s">
        <v>458</v>
      </c>
      <c r="D94" s="306" t="s">
        <v>578</v>
      </c>
      <c r="E94" s="307"/>
      <c r="F94" s="302" t="s">
        <v>596</v>
      </c>
      <c r="G94" s="302" t="s">
        <v>456</v>
      </c>
      <c r="H94" s="302" t="s">
        <v>689</v>
      </c>
      <c r="I94" s="302" t="s">
        <v>598</v>
      </c>
      <c r="J94" s="302" t="s">
        <v>599</v>
      </c>
      <c r="K94" s="302" t="s">
        <v>690</v>
      </c>
      <c r="L94" s="302" t="s">
        <v>600</v>
      </c>
      <c r="M94" s="71"/>
    </row>
    <row r="95" spans="1:13">
      <c r="A95" s="305"/>
      <c r="B95" s="303"/>
      <c r="C95" s="305"/>
      <c r="D95" s="72" t="s">
        <v>457</v>
      </c>
      <c r="E95" s="72" t="s">
        <v>458</v>
      </c>
      <c r="F95" s="303"/>
      <c r="G95" s="303"/>
      <c r="H95" s="303"/>
      <c r="I95" s="303"/>
      <c r="J95" s="303"/>
      <c r="K95" s="303"/>
      <c r="L95" s="303"/>
      <c r="M95" s="71"/>
    </row>
    <row r="96" spans="1:13">
      <c r="A96" s="72" t="s">
        <v>130</v>
      </c>
      <c r="B96" s="72">
        <v>40339.730000000003</v>
      </c>
      <c r="C96" s="72" t="s">
        <v>422</v>
      </c>
      <c r="D96" s="72">
        <v>40234.600000000006</v>
      </c>
      <c r="E96" s="72" t="s">
        <v>422</v>
      </c>
      <c r="F96" s="72">
        <v>41143.444313487213</v>
      </c>
      <c r="G96" s="72" t="s">
        <v>101</v>
      </c>
      <c r="H96" s="91">
        <f>F96</f>
        <v>41143.444313487213</v>
      </c>
      <c r="I96" s="73">
        <v>4.92</v>
      </c>
      <c r="J96" s="72">
        <f t="shared" ref="J96:J101" si="14">I96*H96</f>
        <v>202425.74602235708</v>
      </c>
      <c r="K96" s="74">
        <f>H96/$H$104*100</f>
        <v>3.3107679206240048</v>
      </c>
      <c r="L96" s="72">
        <f>J96/$J$104*100</f>
        <v>8.5574065363293315</v>
      </c>
      <c r="M96" s="71"/>
    </row>
    <row r="97" spans="1:13">
      <c r="A97" s="72" t="s">
        <v>462</v>
      </c>
      <c r="B97" s="72">
        <v>14200</v>
      </c>
      <c r="C97" s="72" t="s">
        <v>221</v>
      </c>
      <c r="D97" s="72">
        <v>857910.17021276592</v>
      </c>
      <c r="E97" s="72" t="s">
        <v>221</v>
      </c>
      <c r="F97" s="72">
        <v>799143.32355319138</v>
      </c>
      <c r="G97" s="72">
        <v>35.94</v>
      </c>
      <c r="H97" s="72">
        <f>F97*G97/3600</f>
        <v>7978.1141801393605</v>
      </c>
      <c r="I97" s="73">
        <v>0.42</v>
      </c>
      <c r="J97" s="72">
        <f t="shared" si="14"/>
        <v>3350.8079556585312</v>
      </c>
      <c r="K97" s="74">
        <f t="shared" ref="K97:K103" si="15">H97/$H$104*100</f>
        <v>0.64199011374510084</v>
      </c>
      <c r="L97" s="72">
        <f t="shared" ref="L97:L103" si="16">J97/$J$104*100</f>
        <v>0.14165305780110446</v>
      </c>
      <c r="M97" s="71"/>
    </row>
    <row r="98" spans="1:13">
      <c r="A98" s="72" t="s">
        <v>132</v>
      </c>
      <c r="B98" s="72">
        <v>8000</v>
      </c>
      <c r="C98" s="72" t="s">
        <v>221</v>
      </c>
      <c r="D98" s="72">
        <v>296893.61702127656</v>
      </c>
      <c r="E98" s="72" t="s">
        <v>221</v>
      </c>
      <c r="F98" s="72">
        <v>156314.48936170209</v>
      </c>
      <c r="G98" s="72">
        <v>40.19</v>
      </c>
      <c r="H98" s="72">
        <f>F98*G98/3600</f>
        <v>1745.0775909574461</v>
      </c>
      <c r="I98" s="73">
        <v>3.26</v>
      </c>
      <c r="J98" s="72">
        <f t="shared" si="14"/>
        <v>5688.9529465212736</v>
      </c>
      <c r="K98" s="74">
        <f t="shared" si="15"/>
        <v>0.14042448325717341</v>
      </c>
      <c r="L98" s="72">
        <f t="shared" si="16"/>
        <v>0.24049649852373203</v>
      </c>
      <c r="M98" s="71"/>
    </row>
    <row r="99" spans="1:13">
      <c r="A99" s="72" t="s">
        <v>442</v>
      </c>
      <c r="B99" s="72">
        <v>550.5</v>
      </c>
      <c r="C99" s="72" t="s">
        <v>223</v>
      </c>
      <c r="D99" s="72">
        <v>19328.992021276594</v>
      </c>
      <c r="E99" s="72" t="s">
        <v>223</v>
      </c>
      <c r="F99" s="72">
        <v>10176.714299202129</v>
      </c>
      <c r="G99" s="72">
        <v>22.63</v>
      </c>
      <c r="H99" s="72">
        <f>(G99*F99)/3.6</f>
        <v>63971.95683081782</v>
      </c>
      <c r="I99" s="73">
        <v>3.56</v>
      </c>
      <c r="J99" s="72">
        <f t="shared" si="14"/>
        <v>227740.16631771144</v>
      </c>
      <c r="K99" s="74">
        <f t="shared" si="15"/>
        <v>5.1477533305491026</v>
      </c>
      <c r="L99" s="72">
        <f t="shared" si="16"/>
        <v>9.6275559118683898</v>
      </c>
      <c r="M99" s="71"/>
    </row>
    <row r="100" spans="1:13">
      <c r="A100" s="72" t="s">
        <v>466</v>
      </c>
      <c r="B100" s="72">
        <v>361</v>
      </c>
      <c r="C100" s="72" t="s">
        <v>223</v>
      </c>
      <c r="D100" s="72">
        <v>12675.324468085108</v>
      </c>
      <c r="E100" s="72" t="s">
        <v>223</v>
      </c>
      <c r="F100" s="72">
        <v>10267.012819148937</v>
      </c>
      <c r="G100" s="72">
        <v>15.6</v>
      </c>
      <c r="H100" s="72">
        <f>(G100*F100)/3.6</f>
        <v>44490.388882978725</v>
      </c>
      <c r="I100" s="73">
        <v>2.83</v>
      </c>
      <c r="J100" s="72">
        <f t="shared" si="14"/>
        <v>125907.80053882979</v>
      </c>
      <c r="K100" s="74">
        <f t="shared" si="15"/>
        <v>3.5800928859416699</v>
      </c>
      <c r="L100" s="72">
        <f t="shared" si="16"/>
        <v>5.322664021141029</v>
      </c>
      <c r="M100" s="71"/>
    </row>
    <row r="101" spans="1:13">
      <c r="A101" s="72" t="s">
        <v>454</v>
      </c>
      <c r="B101" s="72">
        <v>49</v>
      </c>
      <c r="C101" s="72" t="s">
        <v>223</v>
      </c>
      <c r="D101" s="72">
        <v>1720.4734042553191</v>
      </c>
      <c r="E101" s="72" t="s">
        <v>223</v>
      </c>
      <c r="F101" s="72">
        <v>1672.3001489361702</v>
      </c>
      <c r="G101" s="72">
        <v>26.5</v>
      </c>
      <c r="H101" s="72">
        <f>(G101*F101)/3.6</f>
        <v>12309.987207446809</v>
      </c>
      <c r="I101" s="73">
        <v>3.56</v>
      </c>
      <c r="J101" s="72">
        <f t="shared" si="14"/>
        <v>43823.55445851064</v>
      </c>
      <c r="K101" s="74">
        <f t="shared" si="15"/>
        <v>0.99057119377695679</v>
      </c>
      <c r="L101" s="72">
        <f t="shared" si="16"/>
        <v>1.8526100495488573</v>
      </c>
      <c r="M101" s="71"/>
    </row>
    <row r="102" spans="1:13" ht="31.5">
      <c r="A102" s="76" t="s">
        <v>576</v>
      </c>
      <c r="B102" s="72">
        <v>98464.386899999998</v>
      </c>
      <c r="C102" s="72" t="s">
        <v>423</v>
      </c>
      <c r="D102" s="72">
        <v>98464.386899999998</v>
      </c>
      <c r="E102" s="72" t="s">
        <v>423</v>
      </c>
      <c r="F102" s="72">
        <v>95707.38406679999</v>
      </c>
      <c r="G102" s="72" t="s">
        <v>101</v>
      </c>
      <c r="H102" s="72">
        <f>F102*3.6</f>
        <v>344546.58264047996</v>
      </c>
      <c r="I102" s="73">
        <v>1.64</v>
      </c>
      <c r="J102" s="72">
        <f t="shared" ref="J102:J103" si="17">I102*H102</f>
        <v>565056.39553038706</v>
      </c>
      <c r="K102" s="74">
        <f t="shared" si="15"/>
        <v>27.725286300174723</v>
      </c>
      <c r="L102" s="72">
        <f t="shared" si="16"/>
        <v>23.887363082620798</v>
      </c>
      <c r="M102" s="71"/>
    </row>
    <row r="103" spans="1:13" ht="32.25" thickBot="1">
      <c r="A103" s="76" t="s">
        <v>552</v>
      </c>
      <c r="B103" s="72">
        <v>207627.6</v>
      </c>
      <c r="C103" s="72" t="s">
        <v>423</v>
      </c>
      <c r="D103" s="72">
        <v>207627.6</v>
      </c>
      <c r="E103" s="72" t="s">
        <v>423</v>
      </c>
      <c r="F103" s="72">
        <v>201814.02719999998</v>
      </c>
      <c r="G103" s="72" t="s">
        <v>101</v>
      </c>
      <c r="H103" s="77">
        <f>F103*3.6</f>
        <v>726530.49791999999</v>
      </c>
      <c r="I103" s="73">
        <v>1.64</v>
      </c>
      <c r="J103" s="77">
        <f t="shared" si="17"/>
        <v>1191510.0165887999</v>
      </c>
      <c r="K103" s="78">
        <f t="shared" si="15"/>
        <v>58.463113771931262</v>
      </c>
      <c r="L103" s="77">
        <f t="shared" si="16"/>
        <v>50.370250842166762</v>
      </c>
      <c r="M103" s="71"/>
    </row>
    <row r="104" spans="1:13" ht="17.25" thickTop="1" thickBot="1">
      <c r="A104" s="92"/>
      <c r="B104" s="92"/>
      <c r="C104" s="92"/>
      <c r="D104" s="92"/>
      <c r="E104" s="92"/>
      <c r="F104" s="92"/>
      <c r="G104" s="92"/>
      <c r="H104" s="93">
        <f>SUM(H96:H103)</f>
        <v>1242716.0495663073</v>
      </c>
      <c r="I104" s="92"/>
      <c r="J104" s="80">
        <f>J103+J102+J101+J100+J99+J98+J97+J96</f>
        <v>2365503.4403587757</v>
      </c>
      <c r="K104" s="81">
        <f>K103+K102+K101+K100+K99+K98+K97+K96</f>
        <v>100</v>
      </c>
      <c r="L104" s="82">
        <f>L103+L102+L101+L100+L99+L98+L97+L96</f>
        <v>100</v>
      </c>
      <c r="M104" s="71"/>
    </row>
    <row r="105" spans="1:13" ht="15.75" customHeight="1" thickTop="1">
      <c r="A105" s="71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</row>
    <row r="106" spans="1:13">
      <c r="A106" s="331" t="s">
        <v>648</v>
      </c>
      <c r="B106" s="331"/>
      <c r="C106" s="331"/>
      <c r="D106" s="331"/>
      <c r="E106" s="331"/>
      <c r="F106" s="331"/>
      <c r="G106" s="331"/>
      <c r="H106" s="331"/>
      <c r="I106" s="331"/>
      <c r="J106" s="331"/>
      <c r="K106" s="331"/>
      <c r="L106" s="71"/>
      <c r="M106" s="71"/>
    </row>
    <row r="107" spans="1:13" ht="97.5" customHeight="1">
      <c r="A107" s="304" t="s">
        <v>455</v>
      </c>
      <c r="B107" s="302" t="s">
        <v>577</v>
      </c>
      <c r="C107" s="304" t="s">
        <v>458</v>
      </c>
      <c r="D107" s="306" t="s">
        <v>578</v>
      </c>
      <c r="E107" s="307"/>
      <c r="F107" s="302" t="s">
        <v>620</v>
      </c>
      <c r="G107" s="302" t="s">
        <v>689</v>
      </c>
      <c r="H107" s="302" t="s">
        <v>621</v>
      </c>
      <c r="I107" s="302" t="s">
        <v>622</v>
      </c>
      <c r="J107" s="302" t="s">
        <v>690</v>
      </c>
      <c r="K107" s="302" t="s">
        <v>600</v>
      </c>
      <c r="L107" s="71"/>
      <c r="M107" s="71"/>
    </row>
    <row r="108" spans="1:13">
      <c r="A108" s="305"/>
      <c r="B108" s="303"/>
      <c r="C108" s="305"/>
      <c r="D108" s="72" t="s">
        <v>457</v>
      </c>
      <c r="E108" s="72" t="s">
        <v>458</v>
      </c>
      <c r="F108" s="303"/>
      <c r="G108" s="303"/>
      <c r="H108" s="303"/>
      <c r="I108" s="303"/>
      <c r="J108" s="303"/>
      <c r="K108" s="303"/>
      <c r="L108" s="71"/>
      <c r="M108" s="71"/>
    </row>
    <row r="109" spans="1:13">
      <c r="A109" s="72" t="s">
        <v>130</v>
      </c>
      <c r="B109" s="72">
        <v>40339.730000000003</v>
      </c>
      <c r="C109" s="72" t="s">
        <v>422</v>
      </c>
      <c r="D109" s="72">
        <v>40234.600000000006</v>
      </c>
      <c r="E109" s="72" t="s">
        <v>422</v>
      </c>
      <c r="F109" s="72" t="s">
        <v>101</v>
      </c>
      <c r="G109" s="91">
        <f>D109</f>
        <v>40234.600000000006</v>
      </c>
      <c r="H109" s="73">
        <v>0</v>
      </c>
      <c r="I109" s="72">
        <f>H109*G109</f>
        <v>0</v>
      </c>
      <c r="J109" s="74">
        <f>G109/$G$117*100</f>
        <v>2.9955621086256112</v>
      </c>
      <c r="K109" s="72">
        <f>I109/$I$117*100</f>
        <v>0</v>
      </c>
      <c r="L109" s="71"/>
      <c r="M109" s="71"/>
    </row>
    <row r="110" spans="1:13">
      <c r="A110" s="72" t="s">
        <v>462</v>
      </c>
      <c r="B110" s="72">
        <v>14200</v>
      </c>
      <c r="C110" s="72" t="s">
        <v>221</v>
      </c>
      <c r="D110" s="72">
        <v>857910.17021276592</v>
      </c>
      <c r="E110" s="72" t="s">
        <v>221</v>
      </c>
      <c r="F110" s="72">
        <v>35.94</v>
      </c>
      <c r="G110" s="72">
        <f>D110*F110/3600</f>
        <v>8564.80319929078</v>
      </c>
      <c r="H110" s="102">
        <v>5.0000000000000001E-4</v>
      </c>
      <c r="I110" s="72">
        <f>H110*D110</f>
        <v>428.95508510638297</v>
      </c>
      <c r="J110" s="74">
        <f t="shared" ref="J110:J116" si="18">G110/$G$117*100</f>
        <v>0.63767006336911181</v>
      </c>
      <c r="K110" s="72">
        <f t="shared" ref="K110:K116" si="19">I110/$I$117*100</f>
        <v>0.14522788335796821</v>
      </c>
      <c r="L110" s="71"/>
      <c r="M110" s="71"/>
    </row>
    <row r="111" spans="1:13">
      <c r="A111" s="72" t="s">
        <v>132</v>
      </c>
      <c r="B111" s="72">
        <v>8000</v>
      </c>
      <c r="C111" s="72" t="s">
        <v>221</v>
      </c>
      <c r="D111" s="72">
        <v>296.89361702127655</v>
      </c>
      <c r="E111" s="72" t="s">
        <v>221</v>
      </c>
      <c r="F111" s="72">
        <v>40.19</v>
      </c>
      <c r="G111" s="72">
        <f>D111*F111/3.6</f>
        <v>3314.487352245862</v>
      </c>
      <c r="H111" s="103">
        <v>0.31113760000000001</v>
      </c>
      <c r="I111" s="72">
        <f t="shared" ref="I111:I116" si="20">H111*D111</f>
        <v>92.374767455319144</v>
      </c>
      <c r="J111" s="74">
        <f t="shared" si="18"/>
        <v>0.24677150318150376</v>
      </c>
      <c r="K111" s="72">
        <f t="shared" si="19"/>
        <v>3.1274584260712154E-2</v>
      </c>
      <c r="L111" s="71"/>
      <c r="M111" s="71"/>
    </row>
    <row r="112" spans="1:13">
      <c r="A112" s="72" t="s">
        <v>442</v>
      </c>
      <c r="B112" s="72">
        <v>550.5</v>
      </c>
      <c r="C112" s="72" t="s">
        <v>223</v>
      </c>
      <c r="D112" s="72">
        <v>19328.992021276594</v>
      </c>
      <c r="E112" s="72" t="s">
        <v>223</v>
      </c>
      <c r="F112" s="72">
        <v>22.63</v>
      </c>
      <c r="G112" s="72">
        <f>(F112*D112)/3.6</f>
        <v>121504.19151152481</v>
      </c>
      <c r="H112" s="73">
        <v>14</v>
      </c>
      <c r="I112" s="72">
        <f t="shared" si="20"/>
        <v>270605.88829787233</v>
      </c>
      <c r="J112" s="74">
        <f t="shared" si="18"/>
        <v>9.0462773864065582</v>
      </c>
      <c r="K112" s="72">
        <f t="shared" si="19"/>
        <v>91.61686560250547</v>
      </c>
      <c r="L112" s="71"/>
      <c r="M112" s="71"/>
    </row>
    <row r="113" spans="1:13">
      <c r="A113" s="72" t="s">
        <v>466</v>
      </c>
      <c r="B113" s="72">
        <v>361</v>
      </c>
      <c r="C113" s="72" t="s">
        <v>223</v>
      </c>
      <c r="D113" s="72">
        <v>12675.324468085108</v>
      </c>
      <c r="E113" s="72" t="s">
        <v>223</v>
      </c>
      <c r="F113" s="72">
        <v>15.6</v>
      </c>
      <c r="G113" s="72">
        <f>(F113*D113)/3.6</f>
        <v>54926.406028368801</v>
      </c>
      <c r="H113" s="73">
        <v>0</v>
      </c>
      <c r="I113" s="72">
        <f t="shared" si="20"/>
        <v>0</v>
      </c>
      <c r="J113" s="74">
        <f t="shared" si="18"/>
        <v>4.0894021727957259</v>
      </c>
      <c r="K113" s="72">
        <f t="shared" si="19"/>
        <v>0</v>
      </c>
      <c r="L113" s="71"/>
      <c r="M113" s="71"/>
    </row>
    <row r="114" spans="1:13">
      <c r="A114" s="72" t="s">
        <v>454</v>
      </c>
      <c r="B114" s="72">
        <v>49</v>
      </c>
      <c r="C114" s="72" t="s">
        <v>223</v>
      </c>
      <c r="D114" s="72">
        <v>1720.4734042553191</v>
      </c>
      <c r="E114" s="72" t="s">
        <v>223</v>
      </c>
      <c r="F114" s="72">
        <v>26.5</v>
      </c>
      <c r="G114" s="72">
        <f>(F114*D114)/3.6</f>
        <v>12664.595892434989</v>
      </c>
      <c r="H114" s="73">
        <v>14</v>
      </c>
      <c r="I114" s="72">
        <f t="shared" si="20"/>
        <v>24086.627659574468</v>
      </c>
      <c r="J114" s="74">
        <f t="shared" si="18"/>
        <v>0.94290942562952795</v>
      </c>
      <c r="K114" s="72">
        <f t="shared" si="19"/>
        <v>8.1548163751548923</v>
      </c>
      <c r="L114" s="71"/>
      <c r="M114" s="71"/>
    </row>
    <row r="115" spans="1:13" ht="31.5">
      <c r="A115" s="76" t="s">
        <v>576</v>
      </c>
      <c r="B115" s="72">
        <v>98464.386899999998</v>
      </c>
      <c r="C115" s="72" t="s">
        <v>423</v>
      </c>
      <c r="D115" s="72">
        <v>98464.386899999998</v>
      </c>
      <c r="E115" s="72" t="s">
        <v>423</v>
      </c>
      <c r="F115" s="72" t="s">
        <v>101</v>
      </c>
      <c r="G115" s="72">
        <f>D115*3.6</f>
        <v>354471.79284000001</v>
      </c>
      <c r="H115" s="102">
        <v>5.0000000000000001E-4</v>
      </c>
      <c r="I115" s="72">
        <f t="shared" si="20"/>
        <v>49.232193449999997</v>
      </c>
      <c r="J115" s="74">
        <f t="shared" si="18"/>
        <v>26.391271970097659</v>
      </c>
      <c r="K115" s="72">
        <f t="shared" si="19"/>
        <v>1.6668148941608469E-2</v>
      </c>
      <c r="L115" s="71"/>
      <c r="M115" s="71"/>
    </row>
    <row r="116" spans="1:13" ht="32.25" thickBot="1">
      <c r="A116" s="76" t="s">
        <v>552</v>
      </c>
      <c r="B116" s="72">
        <v>207627.6</v>
      </c>
      <c r="C116" s="72" t="s">
        <v>423</v>
      </c>
      <c r="D116" s="72">
        <v>207627.6</v>
      </c>
      <c r="E116" s="72" t="s">
        <v>423</v>
      </c>
      <c r="F116" s="72" t="s">
        <v>101</v>
      </c>
      <c r="G116" s="77">
        <f>D116*3.6</f>
        <v>747459.36</v>
      </c>
      <c r="H116" s="102">
        <v>5.0000000000000001E-4</v>
      </c>
      <c r="I116" s="72">
        <f t="shared" si="20"/>
        <v>103.8138</v>
      </c>
      <c r="J116" s="78">
        <f t="shared" si="18"/>
        <v>55.650135369894308</v>
      </c>
      <c r="K116" s="77">
        <f t="shared" si="19"/>
        <v>3.5147405779344838E-2</v>
      </c>
      <c r="L116" s="71"/>
      <c r="M116" s="71"/>
    </row>
    <row r="117" spans="1:13" ht="16.5" thickBot="1">
      <c r="A117" s="92"/>
      <c r="B117" s="92"/>
      <c r="C117" s="92"/>
      <c r="D117" s="92"/>
      <c r="E117" s="92"/>
      <c r="F117" s="92"/>
      <c r="G117" s="79">
        <v>1343140.2368238652</v>
      </c>
      <c r="H117" s="92"/>
      <c r="I117" s="80">
        <f>I116+I115+I114+I113+I112+I111+I110+I109</f>
        <v>295366.89180345851</v>
      </c>
      <c r="J117" s="81">
        <f>J116+J115+J114+J113+J112+J111+J110+J109</f>
        <v>100</v>
      </c>
      <c r="K117" s="82">
        <f>K116+K115+K114+K113+K112+K111+K110+K109</f>
        <v>99.999999999999986</v>
      </c>
      <c r="L117" s="71"/>
      <c r="M117" s="71"/>
    </row>
    <row r="118" spans="1:13">
      <c r="A118" s="71"/>
      <c r="B118" s="71"/>
      <c r="C118" s="71"/>
      <c r="D118" s="71"/>
      <c r="E118" s="71"/>
      <c r="F118" s="71"/>
      <c r="G118" s="71"/>
      <c r="H118" s="71"/>
      <c r="I118" s="71"/>
      <c r="J118" s="71"/>
      <c r="K118" s="71"/>
      <c r="L118" s="71"/>
      <c r="M118" s="71"/>
    </row>
    <row r="119" spans="1:13" ht="15.75" customHeight="1">
      <c r="A119" s="331" t="s">
        <v>629</v>
      </c>
      <c r="B119" s="331"/>
      <c r="C119" s="331"/>
      <c r="D119" s="331"/>
      <c r="E119" s="331"/>
      <c r="F119" s="331"/>
      <c r="G119" s="331"/>
      <c r="H119" s="331"/>
      <c r="I119" s="331"/>
      <c r="J119" s="331"/>
      <c r="K119" s="331"/>
      <c r="L119" s="331"/>
      <c r="M119" s="71"/>
    </row>
    <row r="120" spans="1:13" ht="72" customHeight="1">
      <c r="A120" s="317" t="s">
        <v>455</v>
      </c>
      <c r="B120" s="318" t="s">
        <v>577</v>
      </c>
      <c r="C120" s="317" t="s">
        <v>458</v>
      </c>
      <c r="D120" s="318" t="s">
        <v>578</v>
      </c>
      <c r="E120" s="318"/>
      <c r="F120" s="318" t="s">
        <v>596</v>
      </c>
      <c r="G120" s="318" t="s">
        <v>620</v>
      </c>
      <c r="H120" s="318" t="s">
        <v>689</v>
      </c>
      <c r="I120" s="318" t="s">
        <v>631</v>
      </c>
      <c r="J120" s="318" t="s">
        <v>630</v>
      </c>
      <c r="K120" s="318" t="s">
        <v>690</v>
      </c>
      <c r="L120" s="318" t="s">
        <v>600</v>
      </c>
      <c r="M120" s="71"/>
    </row>
    <row r="121" spans="1:13">
      <c r="A121" s="317"/>
      <c r="B121" s="318"/>
      <c r="C121" s="317"/>
      <c r="D121" s="72" t="s">
        <v>457</v>
      </c>
      <c r="E121" s="72" t="s">
        <v>458</v>
      </c>
      <c r="F121" s="318"/>
      <c r="G121" s="318"/>
      <c r="H121" s="318"/>
      <c r="I121" s="318"/>
      <c r="J121" s="318"/>
      <c r="K121" s="318"/>
      <c r="L121" s="318"/>
      <c r="M121" s="71"/>
    </row>
    <row r="122" spans="1:13">
      <c r="A122" s="72" t="s">
        <v>130</v>
      </c>
      <c r="B122" s="72">
        <v>40339.730000000003</v>
      </c>
      <c r="C122" s="72" t="s">
        <v>422</v>
      </c>
      <c r="D122" s="72">
        <v>40234.600000000006</v>
      </c>
      <c r="E122" s="72" t="s">
        <v>422</v>
      </c>
      <c r="F122" s="72">
        <v>41143.444313487213</v>
      </c>
      <c r="G122" s="72" t="s">
        <v>101</v>
      </c>
      <c r="H122" s="91">
        <f>F122</f>
        <v>41143.444313487213</v>
      </c>
      <c r="I122" s="73">
        <v>0</v>
      </c>
      <c r="J122" s="72">
        <f>I122*H122</f>
        <v>0</v>
      </c>
      <c r="K122" s="74">
        <f>H122/$H$130*100</f>
        <v>3.3107679206240048</v>
      </c>
      <c r="L122" s="72">
        <f>J122/$J$130*100</f>
        <v>0</v>
      </c>
      <c r="M122" s="71"/>
    </row>
    <row r="123" spans="1:13">
      <c r="A123" s="72" t="s">
        <v>462</v>
      </c>
      <c r="B123" s="72">
        <v>14200</v>
      </c>
      <c r="C123" s="72" t="s">
        <v>221</v>
      </c>
      <c r="D123" s="72">
        <v>857910.17021276592</v>
      </c>
      <c r="E123" s="72" t="s">
        <v>221</v>
      </c>
      <c r="F123" s="72">
        <v>799143.32355319138</v>
      </c>
      <c r="G123" s="72">
        <v>35.94</v>
      </c>
      <c r="H123" s="72">
        <f>F123*G123/3600</f>
        <v>7978.1141801393605</v>
      </c>
      <c r="I123" s="73">
        <v>5.0000000000000001E-4</v>
      </c>
      <c r="J123" s="72">
        <f>I123*F123</f>
        <v>399.5716617765957</v>
      </c>
      <c r="K123" s="74">
        <f t="shared" ref="K123:K129" si="21">H123/$H$130*100</f>
        <v>0.64199011374510084</v>
      </c>
      <c r="L123" s="72">
        <f t="shared" ref="L123:L129" si="22">J123/$J$130*100</f>
        <v>0.23809245825481398</v>
      </c>
      <c r="M123" s="71"/>
    </row>
    <row r="124" spans="1:13">
      <c r="A124" s="72" t="s">
        <v>132</v>
      </c>
      <c r="B124" s="72">
        <v>8000</v>
      </c>
      <c r="C124" s="72" t="s">
        <v>221</v>
      </c>
      <c r="D124" s="72">
        <v>296.89361702127655</v>
      </c>
      <c r="E124" s="72" t="s">
        <v>221</v>
      </c>
      <c r="F124" s="72">
        <v>156.3144893617021</v>
      </c>
      <c r="G124" s="72">
        <v>40.19</v>
      </c>
      <c r="H124" s="72">
        <f>F124*G124/3.6</f>
        <v>1745.0775909574463</v>
      </c>
      <c r="I124" s="73">
        <v>0.31140000000000001</v>
      </c>
      <c r="J124" s="72">
        <f t="shared" ref="J124:J128" si="23">I124*F124</f>
        <v>48.676331987234036</v>
      </c>
      <c r="K124" s="74">
        <f t="shared" si="21"/>
        <v>0.14042448325717341</v>
      </c>
      <c r="L124" s="72">
        <f t="shared" si="22"/>
        <v>2.900472843879446E-2</v>
      </c>
      <c r="M124" s="71"/>
    </row>
    <row r="125" spans="1:13">
      <c r="A125" s="72" t="s">
        <v>442</v>
      </c>
      <c r="B125" s="72">
        <v>550.5</v>
      </c>
      <c r="C125" s="72" t="s">
        <v>223</v>
      </c>
      <c r="D125" s="72">
        <v>19328.992021276594</v>
      </c>
      <c r="E125" s="72" t="s">
        <v>223</v>
      </c>
      <c r="F125" s="72">
        <v>10176.714299202129</v>
      </c>
      <c r="G125" s="72">
        <v>22.63</v>
      </c>
      <c r="H125" s="72">
        <f>(G125*F125)/3.6</f>
        <v>63971.95683081782</v>
      </c>
      <c r="I125" s="73">
        <v>14</v>
      </c>
      <c r="J125" s="72">
        <f t="shared" si="23"/>
        <v>142474.00018882981</v>
      </c>
      <c r="K125" s="74">
        <f t="shared" si="21"/>
        <v>5.1477533305491026</v>
      </c>
      <c r="L125" s="72">
        <f t="shared" si="22"/>
        <v>84.89587272413084</v>
      </c>
      <c r="M125" s="71"/>
    </row>
    <row r="126" spans="1:13">
      <c r="A126" s="72" t="s">
        <v>466</v>
      </c>
      <c r="B126" s="72">
        <v>361</v>
      </c>
      <c r="C126" s="72" t="s">
        <v>223</v>
      </c>
      <c r="D126" s="72">
        <v>12675.324468085108</v>
      </c>
      <c r="E126" s="72" t="s">
        <v>223</v>
      </c>
      <c r="F126" s="72">
        <v>10267.012819148937</v>
      </c>
      <c r="G126" s="72">
        <v>15.6</v>
      </c>
      <c r="H126" s="72">
        <f>(G126*F126)/3.6</f>
        <v>44490.388882978725</v>
      </c>
      <c r="I126" s="73">
        <v>0</v>
      </c>
      <c r="J126" s="72">
        <f t="shared" si="23"/>
        <v>0</v>
      </c>
      <c r="K126" s="74">
        <f t="shared" si="21"/>
        <v>3.5800928859416699</v>
      </c>
      <c r="L126" s="72">
        <f t="shared" si="22"/>
        <v>0</v>
      </c>
      <c r="M126" s="71"/>
    </row>
    <row r="127" spans="1:13">
      <c r="A127" s="72" t="s">
        <v>454</v>
      </c>
      <c r="B127" s="72">
        <v>49</v>
      </c>
      <c r="C127" s="72" t="s">
        <v>223</v>
      </c>
      <c r="D127" s="72">
        <v>1720.4734042553191</v>
      </c>
      <c r="E127" s="72" t="s">
        <v>223</v>
      </c>
      <c r="F127" s="72">
        <v>1672.3001489361702</v>
      </c>
      <c r="G127" s="72">
        <v>26.5</v>
      </c>
      <c r="H127" s="72">
        <f>(G127*F127)/3.6</f>
        <v>12309.987207446809</v>
      </c>
      <c r="I127" s="73">
        <v>14</v>
      </c>
      <c r="J127" s="72">
        <f t="shared" si="23"/>
        <v>23412.202085106383</v>
      </c>
      <c r="K127" s="74">
        <f t="shared" si="21"/>
        <v>0.99057119377695679</v>
      </c>
      <c r="L127" s="72">
        <f t="shared" si="22"/>
        <v>13.950610818637301</v>
      </c>
      <c r="M127" s="71"/>
    </row>
    <row r="128" spans="1:13" ht="31.5">
      <c r="A128" s="76" t="s">
        <v>576</v>
      </c>
      <c r="B128" s="72">
        <v>98464.386899999998</v>
      </c>
      <c r="C128" s="72" t="s">
        <v>423</v>
      </c>
      <c r="D128" s="72">
        <v>98464.386899999998</v>
      </c>
      <c r="E128" s="72" t="s">
        <v>423</v>
      </c>
      <c r="F128" s="72">
        <v>95707.38406679999</v>
      </c>
      <c r="G128" s="72" t="s">
        <v>101</v>
      </c>
      <c r="H128" s="72">
        <f>F128*3.6</f>
        <v>344546.58264047996</v>
      </c>
      <c r="I128" s="73">
        <v>5.0000000000000001E-3</v>
      </c>
      <c r="J128" s="72">
        <f t="shared" si="23"/>
        <v>478.53692033399994</v>
      </c>
      <c r="K128" s="74">
        <f t="shared" si="21"/>
        <v>27.725286300174723</v>
      </c>
      <c r="L128" s="72">
        <f t="shared" si="22"/>
        <v>0.28514542603302245</v>
      </c>
      <c r="M128" s="71"/>
    </row>
    <row r="129" spans="1:13" ht="32.25" thickBot="1">
      <c r="A129" s="76" t="s">
        <v>552</v>
      </c>
      <c r="B129" s="72">
        <v>207627.6</v>
      </c>
      <c r="C129" s="72" t="s">
        <v>423</v>
      </c>
      <c r="D129" s="72">
        <v>207627.6</v>
      </c>
      <c r="E129" s="72" t="s">
        <v>423</v>
      </c>
      <c r="F129" s="72">
        <v>201814.02719999998</v>
      </c>
      <c r="G129" s="72" t="s">
        <v>101</v>
      </c>
      <c r="H129" s="77">
        <f>F129*3.6</f>
        <v>726530.49791999999</v>
      </c>
      <c r="I129" s="73">
        <v>5.0000000000000001E-3</v>
      </c>
      <c r="J129" s="72">
        <f>I129*F129</f>
        <v>1009.0701359999999</v>
      </c>
      <c r="K129" s="78">
        <f t="shared" si="21"/>
        <v>58.463113771931262</v>
      </c>
      <c r="L129" s="77">
        <f t="shared" si="22"/>
        <v>0.6012738445052358</v>
      </c>
      <c r="M129" s="71"/>
    </row>
    <row r="130" spans="1:13" ht="17.25" thickTop="1" thickBot="1">
      <c r="A130" s="92"/>
      <c r="B130" s="92"/>
      <c r="C130" s="92"/>
      <c r="D130" s="92"/>
      <c r="E130" s="92"/>
      <c r="F130" s="92"/>
      <c r="G130" s="92"/>
      <c r="H130" s="93">
        <f>SUM(H122:H129)</f>
        <v>1242716.0495663073</v>
      </c>
      <c r="I130" s="92"/>
      <c r="J130" s="80">
        <f>J129+J128+J127+J126+J125+J124+J123+J122</f>
        <v>167822.05732403402</v>
      </c>
      <c r="K130" s="81">
        <f>K129+K128+K127+K126+K125+K124+K123+K122</f>
        <v>100</v>
      </c>
      <c r="L130" s="82">
        <f>L129+L128+L127+L126+L125+L124+L123+L122</f>
        <v>100</v>
      </c>
      <c r="M130" s="71"/>
    </row>
    <row r="131" spans="1:13" ht="16.5" thickTop="1">
      <c r="A131" s="71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71"/>
      <c r="M131" s="71"/>
    </row>
  </sheetData>
  <mergeCells count="101">
    <mergeCell ref="A106:K106"/>
    <mergeCell ref="A120:A121"/>
    <mergeCell ref="B120:B121"/>
    <mergeCell ref="A119:L119"/>
    <mergeCell ref="D120:E120"/>
    <mergeCell ref="F120:F121"/>
    <mergeCell ref="L120:L121"/>
    <mergeCell ref="C120:C121"/>
    <mergeCell ref="K120:K121"/>
    <mergeCell ref="I120:I121"/>
    <mergeCell ref="J120:J121"/>
    <mergeCell ref="G120:G121"/>
    <mergeCell ref="H120:H121"/>
    <mergeCell ref="J107:J108"/>
    <mergeCell ref="K107:K108"/>
    <mergeCell ref="A107:A108"/>
    <mergeCell ref="B107:B108"/>
    <mergeCell ref="C107:C108"/>
    <mergeCell ref="D107:E107"/>
    <mergeCell ref="F107:F108"/>
    <mergeCell ref="G107:G108"/>
    <mergeCell ref="H107:H108"/>
    <mergeCell ref="I107:I108"/>
    <mergeCell ref="A37:B37"/>
    <mergeCell ref="A39:B39"/>
    <mergeCell ref="A33:B33"/>
    <mergeCell ref="A27:B27"/>
    <mergeCell ref="A1:K1"/>
    <mergeCell ref="A2:A3"/>
    <mergeCell ref="B2:B3"/>
    <mergeCell ref="C2:C3"/>
    <mergeCell ref="J2:J3"/>
    <mergeCell ref="K2:K3"/>
    <mergeCell ref="H2:H3"/>
    <mergeCell ref="I2:I3"/>
    <mergeCell ref="F2:F3"/>
    <mergeCell ref="D2:E2"/>
    <mergeCell ref="G2:G3"/>
    <mergeCell ref="I19:J20"/>
    <mergeCell ref="I25:J26"/>
    <mergeCell ref="I21:J22"/>
    <mergeCell ref="I23:J24"/>
    <mergeCell ref="A81:A82"/>
    <mergeCell ref="J81:J82"/>
    <mergeCell ref="K81:K82"/>
    <mergeCell ref="B55:B56"/>
    <mergeCell ref="A55:A56"/>
    <mergeCell ref="C55:C56"/>
    <mergeCell ref="D55:E55"/>
    <mergeCell ref="A41:L41"/>
    <mergeCell ref="A54:L54"/>
    <mergeCell ref="A67:L67"/>
    <mergeCell ref="A80:K80"/>
    <mergeCell ref="B81:B82"/>
    <mergeCell ref="C81:C82"/>
    <mergeCell ref="D81:E81"/>
    <mergeCell ref="F81:F82"/>
    <mergeCell ref="G81:G82"/>
    <mergeCell ref="I81:I82"/>
    <mergeCell ref="H81:H82"/>
    <mergeCell ref="L68:L69"/>
    <mergeCell ref="F55:F56"/>
    <mergeCell ref="G55:G56"/>
    <mergeCell ref="H55:H56"/>
    <mergeCell ref="I55:I56"/>
    <mergeCell ref="J55:J56"/>
    <mergeCell ref="B68:B69"/>
    <mergeCell ref="A68:A69"/>
    <mergeCell ref="C68:C69"/>
    <mergeCell ref="D68:E68"/>
    <mergeCell ref="F68:F69"/>
    <mergeCell ref="C42:C43"/>
    <mergeCell ref="D42:E42"/>
    <mergeCell ref="F42:F43"/>
    <mergeCell ref="G42:G43"/>
    <mergeCell ref="A42:A43"/>
    <mergeCell ref="B42:B43"/>
    <mergeCell ref="H42:H43"/>
    <mergeCell ref="I42:I43"/>
    <mergeCell ref="J42:J43"/>
    <mergeCell ref="K42:K43"/>
    <mergeCell ref="L42:L43"/>
    <mergeCell ref="A94:A95"/>
    <mergeCell ref="B94:B95"/>
    <mergeCell ref="C94:C95"/>
    <mergeCell ref="D94:E94"/>
    <mergeCell ref="F94:F95"/>
    <mergeCell ref="L94:L95"/>
    <mergeCell ref="G94:G95"/>
    <mergeCell ref="H94:H95"/>
    <mergeCell ref="I94:I95"/>
    <mergeCell ref="J94:J95"/>
    <mergeCell ref="K94:K95"/>
    <mergeCell ref="K55:K56"/>
    <mergeCell ref="L55:L56"/>
    <mergeCell ref="G68:G69"/>
    <mergeCell ref="H68:H69"/>
    <mergeCell ref="I68:I69"/>
    <mergeCell ref="J68:J69"/>
    <mergeCell ref="K68:K69"/>
    <mergeCell ref="A93:L93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Y173"/>
  <sheetViews>
    <sheetView topLeftCell="A89" zoomScale="55" zoomScaleNormal="55" workbookViewId="0">
      <selection activeCell="H85" sqref="H85"/>
    </sheetView>
  </sheetViews>
  <sheetFormatPr defaultRowHeight="12.75"/>
  <cols>
    <col min="1" max="1" width="17.375" style="30" customWidth="1"/>
    <col min="2" max="2" width="14.625" style="24" customWidth="1"/>
    <col min="3" max="3" width="15.125" style="30" customWidth="1"/>
    <col min="4" max="4" width="11.125" style="30" customWidth="1"/>
    <col min="5" max="6" width="12.875" style="6" customWidth="1"/>
    <col min="7" max="8" width="11.125" style="6" customWidth="1"/>
    <col min="9" max="9" width="14.875" style="6" customWidth="1"/>
    <col min="10" max="10" width="20.625" style="6" customWidth="1"/>
    <col min="11" max="11" width="14.5" style="6" customWidth="1"/>
    <col min="12" max="12" width="23" style="6" customWidth="1"/>
    <col min="13" max="13" width="19.5" style="6" customWidth="1"/>
    <col min="14" max="14" width="15.875" style="6" customWidth="1"/>
    <col min="15" max="15" width="18" style="6" customWidth="1"/>
    <col min="16" max="16" width="12.75" style="6" customWidth="1"/>
    <col min="17" max="17" width="25.375" style="30" customWidth="1"/>
    <col min="18" max="18" width="14.75" style="24" customWidth="1"/>
    <col min="19" max="22" width="12.875" style="31" customWidth="1"/>
    <col min="23" max="23" width="27.25" style="6" customWidth="1"/>
    <col min="24" max="16384" width="9" style="6"/>
  </cols>
  <sheetData>
    <row r="1" spans="1:23" ht="13.5" thickTop="1">
      <c r="A1" s="332" t="s">
        <v>469</v>
      </c>
      <c r="B1" s="333"/>
      <c r="C1" s="333"/>
      <c r="D1" s="333"/>
      <c r="E1" s="333"/>
      <c r="F1" s="333"/>
      <c r="G1" s="333"/>
      <c r="H1" s="333"/>
      <c r="I1" s="333"/>
      <c r="J1" s="333"/>
      <c r="K1" s="333"/>
      <c r="L1" s="333"/>
      <c r="M1" s="333"/>
      <c r="N1" s="333"/>
      <c r="O1" s="333"/>
      <c r="P1" s="333"/>
      <c r="Q1" s="333"/>
      <c r="R1" s="333"/>
      <c r="S1" s="333"/>
      <c r="T1" s="333"/>
      <c r="U1" s="333"/>
      <c r="V1" s="333"/>
      <c r="W1" s="334"/>
    </row>
    <row r="2" spans="1:23" ht="72" customHeight="1">
      <c r="A2" s="338" t="s">
        <v>481</v>
      </c>
      <c r="B2" s="340" t="s">
        <v>482</v>
      </c>
      <c r="C2" s="342" t="s">
        <v>483</v>
      </c>
      <c r="D2" s="342" t="s">
        <v>484</v>
      </c>
      <c r="E2" s="347" t="s">
        <v>492</v>
      </c>
      <c r="F2" s="348"/>
      <c r="G2" s="348"/>
      <c r="H2" s="348"/>
      <c r="I2" s="348"/>
      <c r="J2" s="348"/>
      <c r="K2" s="348"/>
      <c r="L2" s="349"/>
      <c r="M2" s="344" t="s">
        <v>480</v>
      </c>
      <c r="N2" s="344" t="s">
        <v>479</v>
      </c>
      <c r="O2" s="344" t="s">
        <v>573</v>
      </c>
      <c r="P2" s="344" t="s">
        <v>478</v>
      </c>
      <c r="Q2" s="344" t="s">
        <v>477</v>
      </c>
      <c r="R2" s="337" t="s">
        <v>476</v>
      </c>
      <c r="S2" s="337" t="s">
        <v>475</v>
      </c>
      <c r="T2" s="337"/>
      <c r="U2" s="337"/>
      <c r="V2" s="337"/>
      <c r="W2" s="335" t="s">
        <v>474</v>
      </c>
    </row>
    <row r="3" spans="1:23" ht="39" thickBot="1">
      <c r="A3" s="339"/>
      <c r="B3" s="341"/>
      <c r="C3" s="343"/>
      <c r="D3" s="343"/>
      <c r="E3" s="42" t="s">
        <v>468</v>
      </c>
      <c r="F3" s="43" t="s">
        <v>485</v>
      </c>
      <c r="G3" s="43" t="s">
        <v>486</v>
      </c>
      <c r="H3" s="43" t="s">
        <v>487</v>
      </c>
      <c r="I3" s="43" t="s">
        <v>488</v>
      </c>
      <c r="J3" s="43" t="s">
        <v>489</v>
      </c>
      <c r="K3" s="43" t="s">
        <v>490</v>
      </c>
      <c r="L3" s="43" t="s">
        <v>491</v>
      </c>
      <c r="M3" s="345"/>
      <c r="N3" s="345"/>
      <c r="O3" s="345"/>
      <c r="P3" s="345"/>
      <c r="Q3" s="345"/>
      <c r="R3" s="346"/>
      <c r="S3" s="44" t="s">
        <v>225</v>
      </c>
      <c r="T3" s="44" t="s">
        <v>521</v>
      </c>
      <c r="U3" s="44" t="s">
        <v>409</v>
      </c>
      <c r="V3" s="44" t="s">
        <v>410</v>
      </c>
      <c r="W3" s="336"/>
    </row>
    <row r="4" spans="1:23" ht="25.5">
      <c r="A4" s="32" t="s">
        <v>374</v>
      </c>
      <c r="B4" s="7">
        <v>253.93</v>
      </c>
      <c r="C4" s="8" t="s">
        <v>130</v>
      </c>
      <c r="D4" s="8" t="s">
        <v>130</v>
      </c>
      <c r="E4" s="9">
        <v>5</v>
      </c>
      <c r="F4" s="9">
        <v>5</v>
      </c>
      <c r="G4" s="9">
        <v>5</v>
      </c>
      <c r="H4" s="9">
        <v>5</v>
      </c>
      <c r="I4" s="9">
        <v>5</v>
      </c>
      <c r="J4" s="9">
        <v>5</v>
      </c>
      <c r="K4" s="9">
        <v>5</v>
      </c>
      <c r="L4" s="9">
        <v>5</v>
      </c>
      <c r="M4" s="9">
        <v>100</v>
      </c>
      <c r="N4" s="9">
        <v>100</v>
      </c>
      <c r="O4" s="9">
        <v>100</v>
      </c>
      <c r="P4" s="9">
        <v>1000</v>
      </c>
      <c r="Q4" s="8" t="s">
        <v>334</v>
      </c>
      <c r="R4" s="7">
        <v>34240</v>
      </c>
      <c r="S4" s="10" t="s">
        <v>101</v>
      </c>
      <c r="T4" s="10" t="s">
        <v>101</v>
      </c>
      <c r="U4" s="10" t="s">
        <v>101</v>
      </c>
      <c r="V4" s="10" t="s">
        <v>101</v>
      </c>
      <c r="W4" s="11" t="s">
        <v>344</v>
      </c>
    </row>
    <row r="5" spans="1:23" ht="51">
      <c r="A5" s="52" t="s">
        <v>345</v>
      </c>
      <c r="B5" s="12">
        <v>261</v>
      </c>
      <c r="C5" s="53" t="s">
        <v>1</v>
      </c>
      <c r="D5" s="53" t="s">
        <v>1</v>
      </c>
      <c r="E5" s="13">
        <v>4</v>
      </c>
      <c r="F5" s="13">
        <v>4</v>
      </c>
      <c r="G5" s="13">
        <v>4</v>
      </c>
      <c r="H5" s="13">
        <v>4</v>
      </c>
      <c r="I5" s="13">
        <v>5</v>
      </c>
      <c r="J5" s="13">
        <v>5</v>
      </c>
      <c r="K5" s="13">
        <v>5</v>
      </c>
      <c r="L5" s="13">
        <v>2</v>
      </c>
      <c r="M5" s="13">
        <v>100</v>
      </c>
      <c r="N5" s="13">
        <v>100</v>
      </c>
      <c r="O5" s="13">
        <v>100</v>
      </c>
      <c r="P5" s="13">
        <v>25</v>
      </c>
      <c r="Q5" s="53" t="s">
        <v>346</v>
      </c>
      <c r="R5" s="12">
        <v>5208</v>
      </c>
      <c r="S5" s="51">
        <v>4700</v>
      </c>
      <c r="T5" s="51" t="s">
        <v>101</v>
      </c>
      <c r="U5" s="51" t="s">
        <v>101</v>
      </c>
      <c r="V5" s="51" t="s">
        <v>101</v>
      </c>
      <c r="W5" s="50" t="s">
        <v>344</v>
      </c>
    </row>
    <row r="6" spans="1:23" ht="38.25">
      <c r="A6" s="52" t="s">
        <v>401</v>
      </c>
      <c r="B6" s="12">
        <v>1118.605</v>
      </c>
      <c r="C6" s="53" t="s">
        <v>1</v>
      </c>
      <c r="D6" s="53" t="s">
        <v>1</v>
      </c>
      <c r="E6" s="13">
        <v>4</v>
      </c>
      <c r="F6" s="13">
        <v>3</v>
      </c>
      <c r="G6" s="13">
        <v>3</v>
      </c>
      <c r="H6" s="13">
        <v>2</v>
      </c>
      <c r="I6" s="13">
        <v>3</v>
      </c>
      <c r="J6" s="13">
        <v>4</v>
      </c>
      <c r="K6" s="13">
        <v>3</v>
      </c>
      <c r="L6" s="13">
        <v>2</v>
      </c>
      <c r="M6" s="13" t="s">
        <v>342</v>
      </c>
      <c r="N6" s="13" t="s">
        <v>342</v>
      </c>
      <c r="O6" s="13">
        <v>100</v>
      </c>
      <c r="P6" s="13" t="s">
        <v>342</v>
      </c>
      <c r="Q6" s="53" t="s">
        <v>334</v>
      </c>
      <c r="R6" s="12">
        <v>7280</v>
      </c>
      <c r="S6" s="51">
        <v>16155</v>
      </c>
      <c r="T6" s="51" t="s">
        <v>101</v>
      </c>
      <c r="U6" s="51" t="s">
        <v>101</v>
      </c>
      <c r="V6" s="51" t="s">
        <v>101</v>
      </c>
      <c r="W6" s="50" t="s">
        <v>344</v>
      </c>
    </row>
    <row r="7" spans="1:23" ht="38.25">
      <c r="A7" s="52" t="s">
        <v>402</v>
      </c>
      <c r="B7" s="12">
        <v>454.6</v>
      </c>
      <c r="C7" s="53" t="s">
        <v>333</v>
      </c>
      <c r="D7" s="53" t="s">
        <v>333</v>
      </c>
      <c r="E7" s="13">
        <v>5</v>
      </c>
      <c r="F7" s="13">
        <v>5</v>
      </c>
      <c r="G7" s="13">
        <v>5</v>
      </c>
      <c r="H7" s="13">
        <v>5</v>
      </c>
      <c r="I7" s="13">
        <v>5</v>
      </c>
      <c r="J7" s="13">
        <v>5</v>
      </c>
      <c r="K7" s="13">
        <v>5</v>
      </c>
      <c r="L7" s="13">
        <v>5</v>
      </c>
      <c r="M7" s="13">
        <v>100</v>
      </c>
      <c r="N7" s="13">
        <v>100</v>
      </c>
      <c r="O7" s="13">
        <v>100</v>
      </c>
      <c r="P7" s="13">
        <v>100</v>
      </c>
      <c r="Q7" s="53" t="s">
        <v>334</v>
      </c>
      <c r="R7" s="12">
        <v>10520</v>
      </c>
      <c r="S7" s="51" t="s">
        <v>101</v>
      </c>
      <c r="T7" s="51" t="s">
        <v>101</v>
      </c>
      <c r="U7" s="51" t="s">
        <v>101</v>
      </c>
      <c r="V7" s="51">
        <v>143</v>
      </c>
      <c r="W7" s="50" t="s">
        <v>344</v>
      </c>
    </row>
    <row r="8" spans="1:23" ht="25.5">
      <c r="A8" s="52" t="s">
        <v>364</v>
      </c>
      <c r="B8" s="12">
        <v>319.52999999999997</v>
      </c>
      <c r="C8" s="53" t="s">
        <v>1</v>
      </c>
      <c r="D8" s="53" t="s">
        <v>1</v>
      </c>
      <c r="E8" s="13">
        <v>5</v>
      </c>
      <c r="F8" s="13">
        <v>5</v>
      </c>
      <c r="G8" s="13">
        <v>5</v>
      </c>
      <c r="H8" s="13">
        <v>5</v>
      </c>
      <c r="I8" s="13">
        <v>2</v>
      </c>
      <c r="J8" s="13">
        <v>5</v>
      </c>
      <c r="K8" s="13">
        <v>2</v>
      </c>
      <c r="L8" s="13">
        <v>4</v>
      </c>
      <c r="M8" s="13">
        <v>0</v>
      </c>
      <c r="N8" s="13">
        <v>100</v>
      </c>
      <c r="O8" s="13">
        <v>0</v>
      </c>
      <c r="P8" s="13">
        <v>0</v>
      </c>
      <c r="Q8" s="53" t="s">
        <v>334</v>
      </c>
      <c r="R8" s="12">
        <v>2650</v>
      </c>
      <c r="S8" s="51">
        <v>4782</v>
      </c>
      <c r="T8" s="51" t="s">
        <v>101</v>
      </c>
      <c r="U8" s="51" t="s">
        <v>101</v>
      </c>
      <c r="V8" s="51" t="s">
        <v>101</v>
      </c>
      <c r="W8" s="50" t="s">
        <v>344</v>
      </c>
    </row>
    <row r="9" spans="1:23" ht="38.25">
      <c r="A9" s="52" t="s">
        <v>396</v>
      </c>
      <c r="B9" s="12">
        <v>2542.0300000000002</v>
      </c>
      <c r="C9" s="53" t="s">
        <v>1</v>
      </c>
      <c r="D9" s="53" t="s">
        <v>1</v>
      </c>
      <c r="E9" s="13">
        <v>1</v>
      </c>
      <c r="F9" s="13">
        <v>1</v>
      </c>
      <c r="G9" s="13">
        <v>1</v>
      </c>
      <c r="H9" s="13">
        <v>1</v>
      </c>
      <c r="I9" s="13">
        <v>3</v>
      </c>
      <c r="J9" s="13">
        <v>3</v>
      </c>
      <c r="K9" s="13">
        <v>1</v>
      </c>
      <c r="L9" s="13">
        <v>3</v>
      </c>
      <c r="M9" s="13">
        <v>54</v>
      </c>
      <c r="N9" s="13">
        <v>60</v>
      </c>
      <c r="O9" s="13">
        <v>0</v>
      </c>
      <c r="P9" s="13">
        <v>40.299999999999997</v>
      </c>
      <c r="Q9" s="53" t="s">
        <v>334</v>
      </c>
      <c r="R9" s="12">
        <v>86760</v>
      </c>
      <c r="S9" s="51">
        <v>62094</v>
      </c>
      <c r="T9" s="51" t="s">
        <v>101</v>
      </c>
      <c r="U9" s="51" t="s">
        <v>101</v>
      </c>
      <c r="V9" s="51" t="s">
        <v>101</v>
      </c>
      <c r="W9" s="50" t="s">
        <v>344</v>
      </c>
    </row>
    <row r="10" spans="1:23" ht="38.25">
      <c r="A10" s="52" t="s">
        <v>413</v>
      </c>
      <c r="B10" s="12">
        <v>3203</v>
      </c>
      <c r="C10" s="53" t="s">
        <v>333</v>
      </c>
      <c r="D10" s="53" t="s">
        <v>333</v>
      </c>
      <c r="E10" s="13">
        <v>4</v>
      </c>
      <c r="F10" s="13">
        <v>1</v>
      </c>
      <c r="G10" s="13">
        <v>1</v>
      </c>
      <c r="H10" s="13">
        <v>4</v>
      </c>
      <c r="I10" s="13">
        <v>4</v>
      </c>
      <c r="J10" s="13">
        <v>4</v>
      </c>
      <c r="K10" s="13">
        <v>3</v>
      </c>
      <c r="L10" s="13">
        <v>4</v>
      </c>
      <c r="M10" s="13" t="s">
        <v>342</v>
      </c>
      <c r="N10" s="13" t="s">
        <v>342</v>
      </c>
      <c r="O10" s="13">
        <v>50</v>
      </c>
      <c r="P10" s="13" t="s">
        <v>342</v>
      </c>
      <c r="Q10" s="53" t="s">
        <v>334</v>
      </c>
      <c r="R10" s="13" t="s">
        <v>342</v>
      </c>
      <c r="S10" s="51" t="s">
        <v>101</v>
      </c>
      <c r="T10" s="51" t="s">
        <v>101</v>
      </c>
      <c r="U10" s="51" t="s">
        <v>101</v>
      </c>
      <c r="V10" s="51">
        <v>1936</v>
      </c>
      <c r="W10" s="50" t="s">
        <v>344</v>
      </c>
    </row>
    <row r="11" spans="1:23" ht="38.25">
      <c r="A11" s="52" t="s">
        <v>414</v>
      </c>
      <c r="B11" s="12">
        <v>291</v>
      </c>
      <c r="C11" s="53" t="s">
        <v>132</v>
      </c>
      <c r="D11" s="53" t="s">
        <v>130</v>
      </c>
      <c r="E11" s="13">
        <v>3</v>
      </c>
      <c r="F11" s="13">
        <v>3</v>
      </c>
      <c r="G11" s="13" t="s">
        <v>342</v>
      </c>
      <c r="H11" s="13">
        <v>3</v>
      </c>
      <c r="I11" s="13">
        <v>5</v>
      </c>
      <c r="J11" s="13">
        <v>5</v>
      </c>
      <c r="K11" s="13">
        <v>5</v>
      </c>
      <c r="L11" s="13">
        <v>1</v>
      </c>
      <c r="M11" s="13">
        <v>100</v>
      </c>
      <c r="N11" s="13">
        <v>100</v>
      </c>
      <c r="O11" s="13">
        <v>100</v>
      </c>
      <c r="P11" s="13">
        <v>0</v>
      </c>
      <c r="Q11" s="53" t="s">
        <v>334</v>
      </c>
      <c r="R11" s="12">
        <v>8189</v>
      </c>
      <c r="S11" s="51" t="s">
        <v>101</v>
      </c>
      <c r="T11" s="51" t="s">
        <v>101</v>
      </c>
      <c r="U11" s="51">
        <v>4500</v>
      </c>
      <c r="V11" s="51" t="s">
        <v>101</v>
      </c>
      <c r="W11" s="50" t="s">
        <v>344</v>
      </c>
    </row>
    <row r="12" spans="1:23" ht="85.5" customHeight="1">
      <c r="A12" s="52" t="s">
        <v>407</v>
      </c>
      <c r="B12" s="12">
        <v>2595.8000000000002</v>
      </c>
      <c r="C12" s="53" t="s">
        <v>522</v>
      </c>
      <c r="D12" s="53" t="s">
        <v>522</v>
      </c>
      <c r="E12" s="13">
        <v>1</v>
      </c>
      <c r="F12" s="13">
        <v>1</v>
      </c>
      <c r="G12" s="13">
        <v>1</v>
      </c>
      <c r="H12" s="13">
        <v>1</v>
      </c>
      <c r="I12" s="13">
        <v>1</v>
      </c>
      <c r="J12" s="13">
        <v>3</v>
      </c>
      <c r="K12" s="13">
        <v>1</v>
      </c>
      <c r="L12" s="13">
        <v>1</v>
      </c>
      <c r="M12" s="13">
        <v>0</v>
      </c>
      <c r="N12" s="13">
        <v>20</v>
      </c>
      <c r="O12" s="13">
        <v>0</v>
      </c>
      <c r="P12" s="13">
        <v>0</v>
      </c>
      <c r="Q12" s="53" t="s">
        <v>395</v>
      </c>
      <c r="R12" s="12">
        <v>77823</v>
      </c>
      <c r="S12" s="51" t="s">
        <v>101</v>
      </c>
      <c r="T12" s="51">
        <f>72.06+38</f>
        <v>110.06</v>
      </c>
      <c r="U12" s="51" t="s">
        <v>101</v>
      </c>
      <c r="V12" s="51" t="s">
        <v>101</v>
      </c>
      <c r="W12" s="50" t="s">
        <v>344</v>
      </c>
    </row>
    <row r="13" spans="1:23" ht="25.5">
      <c r="A13" s="52" t="s">
        <v>387</v>
      </c>
      <c r="B13" s="12">
        <v>2937.6</v>
      </c>
      <c r="C13" s="53" t="s">
        <v>1</v>
      </c>
      <c r="D13" s="53" t="s">
        <v>1</v>
      </c>
      <c r="E13" s="13">
        <v>4</v>
      </c>
      <c r="F13" s="13">
        <v>4</v>
      </c>
      <c r="G13" s="13">
        <v>4</v>
      </c>
      <c r="H13" s="13">
        <v>4</v>
      </c>
      <c r="I13" s="13">
        <v>4</v>
      </c>
      <c r="J13" s="13">
        <v>4</v>
      </c>
      <c r="K13" s="13">
        <v>4</v>
      </c>
      <c r="L13" s="13">
        <v>4</v>
      </c>
      <c r="M13" s="13">
        <v>100</v>
      </c>
      <c r="N13" s="13">
        <v>100</v>
      </c>
      <c r="O13" s="13">
        <v>100</v>
      </c>
      <c r="P13" s="13">
        <v>0</v>
      </c>
      <c r="Q13" s="53" t="s">
        <v>334</v>
      </c>
      <c r="R13" s="12">
        <v>39574</v>
      </c>
      <c r="S13" s="51">
        <f>8910+337911</f>
        <v>346821</v>
      </c>
      <c r="T13" s="51" t="s">
        <v>101</v>
      </c>
      <c r="U13" s="51" t="s">
        <v>101</v>
      </c>
      <c r="V13" s="51" t="s">
        <v>101</v>
      </c>
      <c r="W13" s="50" t="s">
        <v>344</v>
      </c>
    </row>
    <row r="14" spans="1:23" ht="25.5">
      <c r="A14" s="52" t="s">
        <v>355</v>
      </c>
      <c r="B14" s="12">
        <v>3137</v>
      </c>
      <c r="C14" s="53" t="s">
        <v>333</v>
      </c>
      <c r="D14" s="53" t="s">
        <v>333</v>
      </c>
      <c r="E14" s="13">
        <v>5</v>
      </c>
      <c r="F14" s="13">
        <v>1</v>
      </c>
      <c r="G14" s="13">
        <v>5</v>
      </c>
      <c r="H14" s="13">
        <v>5</v>
      </c>
      <c r="I14" s="13">
        <v>5</v>
      </c>
      <c r="J14" s="13">
        <v>5</v>
      </c>
      <c r="K14" s="13">
        <v>3</v>
      </c>
      <c r="L14" s="13">
        <v>5</v>
      </c>
      <c r="M14" s="13">
        <v>100</v>
      </c>
      <c r="N14" s="13">
        <v>100</v>
      </c>
      <c r="O14" s="13">
        <v>0</v>
      </c>
      <c r="P14" s="13">
        <v>28</v>
      </c>
      <c r="Q14" s="53" t="s">
        <v>356</v>
      </c>
      <c r="R14" s="12">
        <v>29150</v>
      </c>
      <c r="S14" s="51">
        <v>466</v>
      </c>
      <c r="T14" s="51" t="s">
        <v>101</v>
      </c>
      <c r="U14" s="51" t="s">
        <v>101</v>
      </c>
      <c r="V14" s="51">
        <v>1155</v>
      </c>
      <c r="W14" s="50" t="s">
        <v>344</v>
      </c>
    </row>
    <row r="15" spans="1:23" ht="38.25">
      <c r="A15" s="52" t="s">
        <v>529</v>
      </c>
      <c r="B15" s="12">
        <v>2100</v>
      </c>
      <c r="C15" s="53" t="s">
        <v>333</v>
      </c>
      <c r="D15" s="53" t="s">
        <v>333</v>
      </c>
      <c r="E15" s="13">
        <v>2</v>
      </c>
      <c r="F15" s="13">
        <v>2</v>
      </c>
      <c r="G15" s="13">
        <v>3</v>
      </c>
      <c r="H15" s="13">
        <v>2</v>
      </c>
      <c r="I15" s="13">
        <v>2</v>
      </c>
      <c r="J15" s="13">
        <v>2</v>
      </c>
      <c r="K15" s="13">
        <v>2</v>
      </c>
      <c r="L15" s="13">
        <v>3</v>
      </c>
      <c r="M15" s="13">
        <v>90</v>
      </c>
      <c r="N15" s="13">
        <v>100</v>
      </c>
      <c r="O15" s="13">
        <v>0</v>
      </c>
      <c r="P15" s="13">
        <v>0</v>
      </c>
      <c r="Q15" s="53" t="s">
        <v>384</v>
      </c>
      <c r="R15" s="12">
        <v>32847</v>
      </c>
      <c r="S15" s="51" t="s">
        <v>101</v>
      </c>
      <c r="T15" s="51" t="s">
        <v>101</v>
      </c>
      <c r="U15" s="51" t="s">
        <v>101</v>
      </c>
      <c r="V15" s="51" t="s">
        <v>101</v>
      </c>
      <c r="W15" s="50" t="s">
        <v>344</v>
      </c>
    </row>
    <row r="16" spans="1:23" ht="25.5">
      <c r="A16" s="52" t="s">
        <v>530</v>
      </c>
      <c r="B16" s="12">
        <v>2850</v>
      </c>
      <c r="C16" s="53" t="s">
        <v>333</v>
      </c>
      <c r="D16" s="53" t="s">
        <v>333</v>
      </c>
      <c r="E16" s="13">
        <v>4</v>
      </c>
      <c r="F16" s="13">
        <v>4</v>
      </c>
      <c r="G16" s="13">
        <v>5</v>
      </c>
      <c r="H16" s="13">
        <v>4</v>
      </c>
      <c r="I16" s="13">
        <v>4</v>
      </c>
      <c r="J16" s="13">
        <v>4</v>
      </c>
      <c r="K16" s="13">
        <v>4</v>
      </c>
      <c r="L16" s="13">
        <v>3</v>
      </c>
      <c r="M16" s="13" t="s">
        <v>342</v>
      </c>
      <c r="N16" s="13" t="s">
        <v>342</v>
      </c>
      <c r="O16" s="13">
        <v>100</v>
      </c>
      <c r="P16" s="13">
        <v>100</v>
      </c>
      <c r="Q16" s="53" t="s">
        <v>385</v>
      </c>
      <c r="R16" s="12">
        <v>69721</v>
      </c>
      <c r="S16" s="51">
        <v>1993</v>
      </c>
      <c r="T16" s="51"/>
      <c r="U16" s="51"/>
      <c r="V16" s="51"/>
      <c r="W16" s="50" t="s">
        <v>344</v>
      </c>
    </row>
    <row r="17" spans="1:23" ht="89.25">
      <c r="A17" s="52" t="s">
        <v>352</v>
      </c>
      <c r="B17" s="12">
        <v>2886</v>
      </c>
      <c r="C17" s="53" t="s">
        <v>333</v>
      </c>
      <c r="D17" s="53" t="s">
        <v>353</v>
      </c>
      <c r="E17" s="13" t="s">
        <v>344</v>
      </c>
      <c r="F17" s="13">
        <v>2</v>
      </c>
      <c r="G17" s="13">
        <v>2</v>
      </c>
      <c r="H17" s="13">
        <v>4</v>
      </c>
      <c r="I17" s="13">
        <v>5</v>
      </c>
      <c r="J17" s="13">
        <v>5</v>
      </c>
      <c r="K17" s="13">
        <v>5</v>
      </c>
      <c r="L17" s="13">
        <v>4</v>
      </c>
      <c r="M17" s="13">
        <v>100</v>
      </c>
      <c r="N17" s="13">
        <v>100</v>
      </c>
      <c r="O17" s="13">
        <v>100</v>
      </c>
      <c r="P17" s="13">
        <v>100</v>
      </c>
      <c r="Q17" s="53" t="s">
        <v>354</v>
      </c>
      <c r="R17" s="12">
        <v>52180</v>
      </c>
      <c r="S17" s="51">
        <v>707</v>
      </c>
      <c r="T17" s="51" t="s">
        <v>101</v>
      </c>
      <c r="U17" s="51" t="s">
        <v>101</v>
      </c>
      <c r="V17" s="51">
        <v>1271</v>
      </c>
      <c r="W17" s="50" t="s">
        <v>344</v>
      </c>
    </row>
    <row r="18" spans="1:23" ht="38.25">
      <c r="A18" s="52" t="s">
        <v>404</v>
      </c>
      <c r="B18" s="12">
        <v>3189</v>
      </c>
      <c r="C18" s="53" t="s">
        <v>333</v>
      </c>
      <c r="D18" s="53" t="s">
        <v>333</v>
      </c>
      <c r="E18" s="13">
        <v>4</v>
      </c>
      <c r="F18" s="13">
        <v>2</v>
      </c>
      <c r="G18" s="13">
        <v>3</v>
      </c>
      <c r="H18" s="13">
        <v>4</v>
      </c>
      <c r="I18" s="13">
        <v>4</v>
      </c>
      <c r="J18" s="13">
        <v>4</v>
      </c>
      <c r="K18" s="13">
        <v>4</v>
      </c>
      <c r="L18" s="13">
        <v>1</v>
      </c>
      <c r="M18" s="13">
        <v>0</v>
      </c>
      <c r="N18" s="13">
        <v>100</v>
      </c>
      <c r="O18" s="13">
        <v>100</v>
      </c>
      <c r="P18" s="13">
        <v>100</v>
      </c>
      <c r="Q18" s="53" t="s">
        <v>334</v>
      </c>
      <c r="R18" s="12">
        <v>32802</v>
      </c>
      <c r="S18" s="51">
        <v>612</v>
      </c>
      <c r="T18" s="51" t="s">
        <v>101</v>
      </c>
      <c r="U18" s="51" t="s">
        <v>101</v>
      </c>
      <c r="V18" s="51">
        <v>1162</v>
      </c>
      <c r="W18" s="50" t="s">
        <v>344</v>
      </c>
    </row>
    <row r="19" spans="1:23" ht="38.25">
      <c r="A19" s="52" t="s">
        <v>405</v>
      </c>
      <c r="B19" s="12">
        <v>94.91</v>
      </c>
      <c r="C19" s="53" t="s">
        <v>130</v>
      </c>
      <c r="D19" s="53" t="s">
        <v>130</v>
      </c>
      <c r="E19" s="13">
        <v>4</v>
      </c>
      <c r="F19" s="13" t="s">
        <v>101</v>
      </c>
      <c r="G19" s="13">
        <v>4</v>
      </c>
      <c r="H19" s="13">
        <v>3</v>
      </c>
      <c r="I19" s="13">
        <v>4</v>
      </c>
      <c r="J19" s="13">
        <v>3</v>
      </c>
      <c r="K19" s="13">
        <v>4</v>
      </c>
      <c r="L19" s="13">
        <v>3</v>
      </c>
      <c r="M19" s="13">
        <v>100</v>
      </c>
      <c r="N19" s="13">
        <v>100</v>
      </c>
      <c r="O19" s="13">
        <v>100</v>
      </c>
      <c r="P19" s="13">
        <v>100</v>
      </c>
      <c r="Q19" s="53" t="s">
        <v>334</v>
      </c>
      <c r="R19" s="12">
        <v>6655</v>
      </c>
      <c r="S19" s="51" t="s">
        <v>101</v>
      </c>
      <c r="T19" s="51" t="s">
        <v>101</v>
      </c>
      <c r="U19" s="51" t="s">
        <v>101</v>
      </c>
      <c r="V19" s="51" t="s">
        <v>101</v>
      </c>
      <c r="W19" s="50" t="s">
        <v>344</v>
      </c>
    </row>
    <row r="20" spans="1:23" ht="25.5">
      <c r="A20" s="52" t="s">
        <v>398</v>
      </c>
      <c r="B20" s="12">
        <v>4521</v>
      </c>
      <c r="C20" s="53" t="s">
        <v>333</v>
      </c>
      <c r="D20" s="53" t="s">
        <v>333</v>
      </c>
      <c r="E20" s="13">
        <v>4</v>
      </c>
      <c r="F20" s="13">
        <v>4</v>
      </c>
      <c r="G20" s="13">
        <v>4</v>
      </c>
      <c r="H20" s="13">
        <v>4</v>
      </c>
      <c r="I20" s="13">
        <v>4</v>
      </c>
      <c r="J20" s="13">
        <v>4</v>
      </c>
      <c r="K20" s="13">
        <v>4</v>
      </c>
      <c r="L20" s="13">
        <v>4</v>
      </c>
      <c r="M20" s="13" t="s">
        <v>342</v>
      </c>
      <c r="N20" s="13" t="s">
        <v>342</v>
      </c>
      <c r="O20" s="13" t="s">
        <v>342</v>
      </c>
      <c r="P20" s="13" t="s">
        <v>342</v>
      </c>
      <c r="Q20" s="53" t="s">
        <v>334</v>
      </c>
      <c r="R20" s="12">
        <v>165942</v>
      </c>
      <c r="S20" s="51" t="s">
        <v>101</v>
      </c>
      <c r="T20" s="51" t="s">
        <v>101</v>
      </c>
      <c r="U20" s="51" t="s">
        <v>101</v>
      </c>
      <c r="V20" s="51">
        <v>1609</v>
      </c>
      <c r="W20" s="50" t="s">
        <v>344</v>
      </c>
    </row>
    <row r="21" spans="1:23" ht="25.5">
      <c r="A21" s="52" t="s">
        <v>400</v>
      </c>
      <c r="B21" s="12">
        <v>771</v>
      </c>
      <c r="C21" s="53" t="s">
        <v>341</v>
      </c>
      <c r="D21" s="53" t="s">
        <v>341</v>
      </c>
      <c r="E21" s="13">
        <v>4</v>
      </c>
      <c r="F21" s="13">
        <v>4</v>
      </c>
      <c r="G21" s="13">
        <v>4</v>
      </c>
      <c r="H21" s="13">
        <v>4</v>
      </c>
      <c r="I21" s="13">
        <v>4</v>
      </c>
      <c r="J21" s="13">
        <v>4</v>
      </c>
      <c r="K21" s="13">
        <v>4</v>
      </c>
      <c r="L21" s="13">
        <v>4</v>
      </c>
      <c r="M21" s="13">
        <v>100</v>
      </c>
      <c r="N21" s="13">
        <v>100</v>
      </c>
      <c r="O21" s="13" t="s">
        <v>342</v>
      </c>
      <c r="P21" s="13">
        <v>100</v>
      </c>
      <c r="Q21" s="53" t="s">
        <v>334</v>
      </c>
      <c r="R21" s="12">
        <v>12648</v>
      </c>
      <c r="S21" s="51">
        <v>6700</v>
      </c>
      <c r="T21" s="51" t="s">
        <v>101</v>
      </c>
      <c r="U21" s="51" t="s">
        <v>101</v>
      </c>
      <c r="V21" s="51" t="s">
        <v>101</v>
      </c>
      <c r="W21" s="50" t="s">
        <v>344</v>
      </c>
    </row>
    <row r="22" spans="1:23" ht="25.5">
      <c r="A22" s="52" t="s">
        <v>397</v>
      </c>
      <c r="B22" s="12">
        <v>141.37</v>
      </c>
      <c r="C22" s="53" t="s">
        <v>132</v>
      </c>
      <c r="D22" s="53" t="s">
        <v>132</v>
      </c>
      <c r="E22" s="13">
        <v>4</v>
      </c>
      <c r="F22" s="13">
        <v>4</v>
      </c>
      <c r="G22" s="13">
        <v>4</v>
      </c>
      <c r="H22" s="13">
        <v>4</v>
      </c>
      <c r="I22" s="13">
        <v>4</v>
      </c>
      <c r="J22" s="13">
        <v>4</v>
      </c>
      <c r="K22" s="13">
        <v>3</v>
      </c>
      <c r="L22" s="13">
        <v>4</v>
      </c>
      <c r="M22" s="13">
        <v>100</v>
      </c>
      <c r="N22" s="13" t="s">
        <v>342</v>
      </c>
      <c r="O22" s="13" t="s">
        <v>342</v>
      </c>
      <c r="P22" s="13" t="s">
        <v>342</v>
      </c>
      <c r="Q22" s="53" t="s">
        <v>334</v>
      </c>
      <c r="R22" s="12">
        <v>13501</v>
      </c>
      <c r="S22" s="51" t="s">
        <v>101</v>
      </c>
      <c r="T22" s="51" t="s">
        <v>101</v>
      </c>
      <c r="U22" s="51">
        <v>2354</v>
      </c>
      <c r="V22" s="51" t="s">
        <v>101</v>
      </c>
      <c r="W22" s="50" t="s">
        <v>344</v>
      </c>
    </row>
    <row r="23" spans="1:23" ht="25.5">
      <c r="A23" s="52" t="s">
        <v>399</v>
      </c>
      <c r="B23" s="12">
        <v>207.48</v>
      </c>
      <c r="C23" s="53" t="s">
        <v>132</v>
      </c>
      <c r="D23" s="53" t="s">
        <v>132</v>
      </c>
      <c r="E23" s="13">
        <v>4</v>
      </c>
      <c r="F23" s="13">
        <v>4</v>
      </c>
      <c r="G23" s="13">
        <v>4</v>
      </c>
      <c r="H23" s="13">
        <v>4</v>
      </c>
      <c r="I23" s="13">
        <v>4</v>
      </c>
      <c r="J23" s="13">
        <v>4</v>
      </c>
      <c r="K23" s="13">
        <v>3</v>
      </c>
      <c r="L23" s="13">
        <v>4</v>
      </c>
      <c r="M23" s="13">
        <v>100</v>
      </c>
      <c r="N23" s="13">
        <v>100</v>
      </c>
      <c r="O23" s="13" t="s">
        <v>342</v>
      </c>
      <c r="P23" s="13">
        <v>100</v>
      </c>
      <c r="Q23" s="53" t="s">
        <v>334</v>
      </c>
      <c r="R23" s="12">
        <v>14295</v>
      </c>
      <c r="S23" s="51" t="s">
        <v>101</v>
      </c>
      <c r="T23" s="51" t="s">
        <v>101</v>
      </c>
      <c r="U23" s="51">
        <v>5100</v>
      </c>
      <c r="V23" s="51" t="s">
        <v>101</v>
      </c>
      <c r="W23" s="50" t="s">
        <v>344</v>
      </c>
    </row>
    <row r="24" spans="1:23" ht="25.5">
      <c r="A24" s="52" t="s">
        <v>361</v>
      </c>
      <c r="B24" s="12">
        <v>1960.39</v>
      </c>
      <c r="C24" s="53" t="s">
        <v>1</v>
      </c>
      <c r="D24" s="53" t="s">
        <v>1</v>
      </c>
      <c r="E24" s="13">
        <v>4</v>
      </c>
      <c r="F24" s="13">
        <v>4</v>
      </c>
      <c r="G24" s="13">
        <v>4</v>
      </c>
      <c r="H24" s="13">
        <v>4</v>
      </c>
      <c r="I24" s="13">
        <v>5</v>
      </c>
      <c r="J24" s="13">
        <v>3</v>
      </c>
      <c r="K24" s="13">
        <v>5</v>
      </c>
      <c r="L24" s="13">
        <v>5</v>
      </c>
      <c r="M24" s="13">
        <v>0</v>
      </c>
      <c r="N24" s="13">
        <v>0</v>
      </c>
      <c r="O24" s="13">
        <v>0</v>
      </c>
      <c r="P24" s="13">
        <v>0</v>
      </c>
      <c r="Q24" s="53" t="s">
        <v>334</v>
      </c>
      <c r="R24" s="12">
        <v>77921</v>
      </c>
      <c r="S24" s="51">
        <v>23761</v>
      </c>
      <c r="T24" s="51" t="s">
        <v>101</v>
      </c>
      <c r="U24" s="51" t="s">
        <v>101</v>
      </c>
      <c r="V24" s="51" t="s">
        <v>101</v>
      </c>
      <c r="W24" s="50" t="s">
        <v>344</v>
      </c>
    </row>
    <row r="25" spans="1:23" ht="25.5">
      <c r="A25" s="52" t="s">
        <v>372</v>
      </c>
      <c r="B25" s="12">
        <v>1519.2</v>
      </c>
      <c r="C25" s="53" t="s">
        <v>442</v>
      </c>
      <c r="D25" s="53" t="s">
        <v>130</v>
      </c>
      <c r="E25" s="13">
        <v>3</v>
      </c>
      <c r="F25" s="13">
        <v>2</v>
      </c>
      <c r="G25" s="13">
        <v>3</v>
      </c>
      <c r="H25" s="13">
        <v>4</v>
      </c>
      <c r="I25" s="13">
        <v>2</v>
      </c>
      <c r="J25" s="13">
        <v>4</v>
      </c>
      <c r="K25" s="13">
        <v>3</v>
      </c>
      <c r="L25" s="13">
        <v>2</v>
      </c>
      <c r="M25" s="13">
        <v>0</v>
      </c>
      <c r="N25" s="13">
        <v>0</v>
      </c>
      <c r="O25" s="13">
        <v>0</v>
      </c>
      <c r="P25" s="13">
        <v>0</v>
      </c>
      <c r="Q25" s="53" t="s">
        <v>334</v>
      </c>
      <c r="R25" s="12">
        <v>49208</v>
      </c>
      <c r="S25" s="51" t="s">
        <v>101</v>
      </c>
      <c r="T25" s="51">
        <v>48</v>
      </c>
      <c r="U25" s="51" t="s">
        <v>101</v>
      </c>
      <c r="V25" s="51" t="s">
        <v>101</v>
      </c>
      <c r="W25" s="50" t="s">
        <v>344</v>
      </c>
    </row>
    <row r="26" spans="1:23" ht="51">
      <c r="A26" s="52" t="s">
        <v>338</v>
      </c>
      <c r="B26" s="12">
        <v>907.29</v>
      </c>
      <c r="C26" s="53" t="s">
        <v>339</v>
      </c>
      <c r="D26" s="53" t="s">
        <v>339</v>
      </c>
      <c r="E26" s="53">
        <v>5</v>
      </c>
      <c r="F26" s="53">
        <v>5</v>
      </c>
      <c r="G26" s="53">
        <v>5</v>
      </c>
      <c r="H26" s="53">
        <v>5</v>
      </c>
      <c r="I26" s="53">
        <v>5</v>
      </c>
      <c r="J26" s="53">
        <v>5</v>
      </c>
      <c r="K26" s="53">
        <v>5</v>
      </c>
      <c r="L26" s="53">
        <v>3</v>
      </c>
      <c r="M26" s="14">
        <v>100</v>
      </c>
      <c r="N26" s="14">
        <v>50</v>
      </c>
      <c r="O26" s="14">
        <v>100</v>
      </c>
      <c r="P26" s="14">
        <v>0</v>
      </c>
      <c r="Q26" s="53" t="s">
        <v>334</v>
      </c>
      <c r="R26" s="12">
        <v>17259</v>
      </c>
      <c r="S26" s="51">
        <v>8372</v>
      </c>
      <c r="T26" s="51" t="s">
        <v>101</v>
      </c>
      <c r="U26" s="51" t="s">
        <v>101</v>
      </c>
      <c r="V26" s="51" t="s">
        <v>101</v>
      </c>
      <c r="W26" s="50" t="s">
        <v>344</v>
      </c>
    </row>
    <row r="27" spans="1:23" ht="38.25">
      <c r="A27" s="52" t="s">
        <v>336</v>
      </c>
      <c r="B27" s="12">
        <v>1768.6</v>
      </c>
      <c r="C27" s="53" t="s">
        <v>333</v>
      </c>
      <c r="D27" s="53" t="s">
        <v>333</v>
      </c>
      <c r="E27" s="53">
        <v>5</v>
      </c>
      <c r="F27" s="53">
        <v>5</v>
      </c>
      <c r="G27" s="53">
        <v>5</v>
      </c>
      <c r="H27" s="53">
        <v>4</v>
      </c>
      <c r="I27" s="53">
        <v>5</v>
      </c>
      <c r="J27" s="53">
        <v>4</v>
      </c>
      <c r="K27" s="53">
        <v>5</v>
      </c>
      <c r="L27" s="53">
        <v>4</v>
      </c>
      <c r="M27" s="14">
        <v>0</v>
      </c>
      <c r="N27" s="14">
        <v>0</v>
      </c>
      <c r="O27" s="14">
        <v>100</v>
      </c>
      <c r="P27" s="14">
        <v>20</v>
      </c>
      <c r="Q27" s="53" t="s">
        <v>334</v>
      </c>
      <c r="R27" s="12">
        <v>34784</v>
      </c>
      <c r="S27" s="51" t="s">
        <v>101</v>
      </c>
      <c r="T27" s="51" t="s">
        <v>101</v>
      </c>
      <c r="U27" s="51" t="s">
        <v>101</v>
      </c>
      <c r="V27" s="51">
        <v>1209</v>
      </c>
      <c r="W27" s="50" t="s">
        <v>344</v>
      </c>
    </row>
    <row r="28" spans="1:23" ht="25.5">
      <c r="A28" s="52" t="s">
        <v>347</v>
      </c>
      <c r="B28" s="12">
        <v>471</v>
      </c>
      <c r="C28" s="53" t="s">
        <v>333</v>
      </c>
      <c r="D28" s="53" t="s">
        <v>130</v>
      </c>
      <c r="E28" s="13">
        <v>4</v>
      </c>
      <c r="F28" s="13">
        <v>5</v>
      </c>
      <c r="G28" s="13">
        <v>4</v>
      </c>
      <c r="H28" s="13" t="s">
        <v>344</v>
      </c>
      <c r="I28" s="13">
        <v>5</v>
      </c>
      <c r="J28" s="13">
        <v>5</v>
      </c>
      <c r="K28" s="13">
        <v>4</v>
      </c>
      <c r="L28" s="13">
        <v>4</v>
      </c>
      <c r="M28" s="13">
        <v>91</v>
      </c>
      <c r="N28" s="13">
        <v>100</v>
      </c>
      <c r="O28" s="13">
        <v>100</v>
      </c>
      <c r="P28" s="13">
        <v>100</v>
      </c>
      <c r="Q28" s="53" t="s">
        <v>334</v>
      </c>
      <c r="R28" s="12">
        <v>14261</v>
      </c>
      <c r="S28" s="51" t="s">
        <v>101</v>
      </c>
      <c r="T28" s="51" t="s">
        <v>101</v>
      </c>
      <c r="U28" s="51" t="s">
        <v>101</v>
      </c>
      <c r="V28" s="51">
        <v>158</v>
      </c>
      <c r="W28" s="50" t="s">
        <v>344</v>
      </c>
    </row>
    <row r="29" spans="1:23" ht="38.25">
      <c r="A29" s="52" t="s">
        <v>363</v>
      </c>
      <c r="B29" s="12">
        <v>1230.6199999999999</v>
      </c>
      <c r="C29" s="53" t="s">
        <v>362</v>
      </c>
      <c r="D29" s="53" t="s">
        <v>1</v>
      </c>
      <c r="E29" s="13">
        <v>5</v>
      </c>
      <c r="F29" s="13">
        <v>5</v>
      </c>
      <c r="G29" s="13">
        <v>5</v>
      </c>
      <c r="H29" s="13">
        <v>5</v>
      </c>
      <c r="I29" s="13">
        <v>5</v>
      </c>
      <c r="J29" s="13">
        <v>4</v>
      </c>
      <c r="K29" s="13">
        <v>3</v>
      </c>
      <c r="L29" s="13">
        <v>5</v>
      </c>
      <c r="M29" s="13">
        <v>100</v>
      </c>
      <c r="N29" s="13">
        <v>100</v>
      </c>
      <c r="O29" s="13">
        <v>100</v>
      </c>
      <c r="P29" s="13">
        <v>100</v>
      </c>
      <c r="Q29" s="53" t="s">
        <v>334</v>
      </c>
      <c r="R29" s="12">
        <v>28578</v>
      </c>
      <c r="S29" s="51">
        <v>13420</v>
      </c>
      <c r="T29" s="51" t="s">
        <v>101</v>
      </c>
      <c r="U29" s="51" t="s">
        <v>101</v>
      </c>
      <c r="V29" s="51" t="s">
        <v>101</v>
      </c>
      <c r="W29" s="50" t="s">
        <v>344</v>
      </c>
    </row>
    <row r="30" spans="1:23" ht="38.25">
      <c r="A30" s="52" t="s">
        <v>381</v>
      </c>
      <c r="B30" s="12">
        <v>727.96</v>
      </c>
      <c r="C30" s="53" t="s">
        <v>333</v>
      </c>
      <c r="D30" s="53" t="s">
        <v>130</v>
      </c>
      <c r="E30" s="13">
        <v>5</v>
      </c>
      <c r="F30" s="13">
        <v>2</v>
      </c>
      <c r="G30" s="13" t="s">
        <v>382</v>
      </c>
      <c r="H30" s="13" t="s">
        <v>344</v>
      </c>
      <c r="I30" s="13">
        <v>5</v>
      </c>
      <c r="J30" s="13">
        <v>5</v>
      </c>
      <c r="K30" s="13">
        <v>4</v>
      </c>
      <c r="L30" s="13">
        <v>1</v>
      </c>
      <c r="M30" s="13">
        <v>100</v>
      </c>
      <c r="N30" s="13">
        <v>100</v>
      </c>
      <c r="O30" s="13">
        <v>100</v>
      </c>
      <c r="P30" s="13">
        <v>0</v>
      </c>
      <c r="Q30" s="53" t="s">
        <v>383</v>
      </c>
      <c r="R30" s="12">
        <v>15860</v>
      </c>
      <c r="S30" s="51" t="s">
        <v>101</v>
      </c>
      <c r="T30" s="51" t="s">
        <v>101</v>
      </c>
      <c r="U30" s="51" t="s">
        <v>101</v>
      </c>
      <c r="V30" s="51">
        <v>394</v>
      </c>
      <c r="W30" s="50" t="s">
        <v>344</v>
      </c>
    </row>
    <row r="31" spans="1:23" ht="25.5">
      <c r="A31" s="52" t="s">
        <v>377</v>
      </c>
      <c r="B31" s="12">
        <v>415.11</v>
      </c>
      <c r="C31" s="53" t="s">
        <v>442</v>
      </c>
      <c r="D31" s="53" t="s">
        <v>379</v>
      </c>
      <c r="E31" s="13">
        <v>1</v>
      </c>
      <c r="F31" s="13">
        <v>2</v>
      </c>
      <c r="G31" s="53" t="s">
        <v>380</v>
      </c>
      <c r="H31" s="13">
        <v>2</v>
      </c>
      <c r="I31" s="13">
        <v>5</v>
      </c>
      <c r="J31" s="13">
        <v>3</v>
      </c>
      <c r="K31" s="13">
        <v>5</v>
      </c>
      <c r="L31" s="13">
        <v>5</v>
      </c>
      <c r="M31" s="13">
        <v>100</v>
      </c>
      <c r="N31" s="13">
        <v>100</v>
      </c>
      <c r="O31" s="13">
        <v>100</v>
      </c>
      <c r="P31" s="13">
        <v>100</v>
      </c>
      <c r="Q31" s="53" t="s">
        <v>378</v>
      </c>
      <c r="R31" s="12">
        <v>4187</v>
      </c>
      <c r="S31" s="51" t="s">
        <v>101</v>
      </c>
      <c r="T31" s="51" t="s">
        <v>101</v>
      </c>
      <c r="U31" s="51" t="s">
        <v>101</v>
      </c>
      <c r="V31" s="51" t="s">
        <v>101</v>
      </c>
      <c r="W31" s="50" t="s">
        <v>344</v>
      </c>
    </row>
    <row r="32" spans="1:23" ht="38.25">
      <c r="A32" s="52" t="s">
        <v>337</v>
      </c>
      <c r="B32" s="12">
        <v>1418</v>
      </c>
      <c r="C32" s="53" t="s">
        <v>333</v>
      </c>
      <c r="D32" s="53" t="s">
        <v>130</v>
      </c>
      <c r="E32" s="13">
        <v>4</v>
      </c>
      <c r="F32" s="13">
        <v>5</v>
      </c>
      <c r="G32" s="13">
        <v>5</v>
      </c>
      <c r="H32" s="13">
        <v>5</v>
      </c>
      <c r="I32" s="13">
        <v>5</v>
      </c>
      <c r="J32" s="13">
        <v>5</v>
      </c>
      <c r="K32" s="13">
        <v>5</v>
      </c>
      <c r="L32" s="13">
        <v>5</v>
      </c>
      <c r="M32" s="14">
        <v>0</v>
      </c>
      <c r="N32" s="14">
        <v>0</v>
      </c>
      <c r="O32" s="14">
        <v>0</v>
      </c>
      <c r="P32" s="14">
        <v>0</v>
      </c>
      <c r="Q32" s="53" t="s">
        <v>334</v>
      </c>
      <c r="R32" s="12">
        <v>1300</v>
      </c>
      <c r="S32" s="51" t="s">
        <v>101</v>
      </c>
      <c r="T32" s="51" t="s">
        <v>101</v>
      </c>
      <c r="U32" s="51" t="s">
        <v>101</v>
      </c>
      <c r="V32" s="51" t="s">
        <v>101</v>
      </c>
      <c r="W32" s="50" t="s">
        <v>344</v>
      </c>
    </row>
    <row r="33" spans="1:23" ht="25.5">
      <c r="A33" s="52" t="s">
        <v>348</v>
      </c>
      <c r="B33" s="12">
        <v>600</v>
      </c>
      <c r="C33" s="53" t="s">
        <v>442</v>
      </c>
      <c r="D33" s="53" t="s">
        <v>130</v>
      </c>
      <c r="E33" s="13">
        <v>4</v>
      </c>
      <c r="F33" s="13">
        <v>3</v>
      </c>
      <c r="G33" s="13">
        <v>2</v>
      </c>
      <c r="H33" s="53" t="s">
        <v>349</v>
      </c>
      <c r="I33" s="13">
        <v>5</v>
      </c>
      <c r="J33" s="13">
        <v>5</v>
      </c>
      <c r="K33" s="13">
        <v>5</v>
      </c>
      <c r="L33" s="13">
        <v>5</v>
      </c>
      <c r="M33" s="13">
        <v>100</v>
      </c>
      <c r="N33" s="13">
        <v>100</v>
      </c>
      <c r="O33" s="13">
        <v>100</v>
      </c>
      <c r="P33" s="13">
        <v>100</v>
      </c>
      <c r="Q33" s="53" t="s">
        <v>334</v>
      </c>
      <c r="R33" s="12">
        <v>3100</v>
      </c>
      <c r="S33" s="51" t="s">
        <v>101</v>
      </c>
      <c r="T33" s="51">
        <v>12</v>
      </c>
      <c r="U33" s="51" t="s">
        <v>101</v>
      </c>
      <c r="V33" s="51" t="s">
        <v>101</v>
      </c>
      <c r="W33" s="50" t="s">
        <v>344</v>
      </c>
    </row>
    <row r="34" spans="1:23" ht="25.5">
      <c r="A34" s="52" t="s">
        <v>371</v>
      </c>
      <c r="B34" s="12">
        <v>435.77</v>
      </c>
      <c r="C34" s="53" t="s">
        <v>130</v>
      </c>
      <c r="D34" s="53" t="s">
        <v>130</v>
      </c>
      <c r="E34" s="13">
        <v>4</v>
      </c>
      <c r="F34" s="13">
        <v>4</v>
      </c>
      <c r="G34" s="13">
        <v>4</v>
      </c>
      <c r="H34" s="13">
        <v>4</v>
      </c>
      <c r="I34" s="13">
        <v>3</v>
      </c>
      <c r="J34" s="13">
        <v>4</v>
      </c>
      <c r="K34" s="13">
        <v>5</v>
      </c>
      <c r="L34" s="13">
        <v>3</v>
      </c>
      <c r="M34" s="13">
        <v>0</v>
      </c>
      <c r="N34" s="13">
        <v>100</v>
      </c>
      <c r="O34" s="13">
        <v>100</v>
      </c>
      <c r="P34" s="13">
        <v>0</v>
      </c>
      <c r="Q34" s="53" t="s">
        <v>334</v>
      </c>
      <c r="R34" s="12">
        <v>41702</v>
      </c>
      <c r="S34" s="51" t="s">
        <v>101</v>
      </c>
      <c r="T34" s="51" t="s">
        <v>101</v>
      </c>
      <c r="U34" s="51" t="s">
        <v>101</v>
      </c>
      <c r="V34" s="51" t="s">
        <v>101</v>
      </c>
      <c r="W34" s="50" t="s">
        <v>344</v>
      </c>
    </row>
    <row r="35" spans="1:23" ht="38.25">
      <c r="A35" s="52" t="s">
        <v>370</v>
      </c>
      <c r="B35" s="12">
        <v>1092.82</v>
      </c>
      <c r="C35" s="53" t="s">
        <v>333</v>
      </c>
      <c r="D35" s="53" t="s">
        <v>333</v>
      </c>
      <c r="E35" s="13">
        <v>5</v>
      </c>
      <c r="F35" s="13">
        <v>5</v>
      </c>
      <c r="G35" s="13">
        <v>5</v>
      </c>
      <c r="H35" s="13">
        <v>5</v>
      </c>
      <c r="I35" s="13">
        <v>5</v>
      </c>
      <c r="J35" s="13">
        <v>5</v>
      </c>
      <c r="K35" s="13">
        <v>5</v>
      </c>
      <c r="L35" s="13">
        <v>5</v>
      </c>
      <c r="M35" s="13">
        <v>100</v>
      </c>
      <c r="N35" s="13">
        <v>100</v>
      </c>
      <c r="O35" s="13">
        <v>100</v>
      </c>
      <c r="P35" s="13">
        <v>100</v>
      </c>
      <c r="Q35" s="53" t="s">
        <v>334</v>
      </c>
      <c r="R35" s="12">
        <v>39496</v>
      </c>
      <c r="S35" s="51" t="s">
        <v>101</v>
      </c>
      <c r="T35" s="51" t="s">
        <v>101</v>
      </c>
      <c r="U35" s="51" t="s">
        <v>101</v>
      </c>
      <c r="V35" s="51">
        <v>464</v>
      </c>
      <c r="W35" s="50" t="s">
        <v>344</v>
      </c>
    </row>
    <row r="36" spans="1:23" ht="51">
      <c r="A36" s="52" t="s">
        <v>365</v>
      </c>
      <c r="B36" s="12" t="s">
        <v>342</v>
      </c>
      <c r="C36" s="53" t="s">
        <v>366</v>
      </c>
      <c r="D36" s="53" t="s">
        <v>366</v>
      </c>
      <c r="E36" s="13">
        <v>3</v>
      </c>
      <c r="F36" s="13">
        <v>3</v>
      </c>
      <c r="G36" s="13">
        <v>3</v>
      </c>
      <c r="H36" s="13">
        <v>3</v>
      </c>
      <c r="I36" s="13">
        <v>5</v>
      </c>
      <c r="J36" s="13">
        <v>3</v>
      </c>
      <c r="K36" s="13">
        <v>4</v>
      </c>
      <c r="L36" s="13">
        <v>5</v>
      </c>
      <c r="M36" s="13">
        <v>100</v>
      </c>
      <c r="N36" s="13" t="s">
        <v>342</v>
      </c>
      <c r="O36" s="13" t="s">
        <v>342</v>
      </c>
      <c r="P36" s="13" t="s">
        <v>342</v>
      </c>
      <c r="Q36" s="53" t="s">
        <v>334</v>
      </c>
      <c r="R36" s="12">
        <v>22434</v>
      </c>
      <c r="S36" s="51">
        <v>18412</v>
      </c>
      <c r="T36" s="51" t="s">
        <v>101</v>
      </c>
      <c r="U36" s="51" t="s">
        <v>101</v>
      </c>
      <c r="V36" s="51" t="s">
        <v>101</v>
      </c>
      <c r="W36" s="50" t="s">
        <v>344</v>
      </c>
    </row>
    <row r="37" spans="1:23" ht="25.5">
      <c r="A37" s="52" t="s">
        <v>570</v>
      </c>
      <c r="B37" s="12" t="s">
        <v>342</v>
      </c>
      <c r="C37" s="53" t="s">
        <v>333</v>
      </c>
      <c r="D37" s="53" t="s">
        <v>333</v>
      </c>
      <c r="E37" s="13">
        <v>5</v>
      </c>
      <c r="F37" s="13">
        <v>5</v>
      </c>
      <c r="G37" s="13">
        <v>3</v>
      </c>
      <c r="H37" s="13">
        <v>2</v>
      </c>
      <c r="I37" s="13">
        <v>5</v>
      </c>
      <c r="J37" s="13">
        <v>5</v>
      </c>
      <c r="K37" s="13">
        <v>2</v>
      </c>
      <c r="L37" s="13">
        <v>4</v>
      </c>
      <c r="M37" s="13">
        <v>100</v>
      </c>
      <c r="N37" s="13">
        <v>100</v>
      </c>
      <c r="O37" s="13">
        <v>100</v>
      </c>
      <c r="P37" s="13">
        <v>100</v>
      </c>
      <c r="Q37" s="53" t="s">
        <v>334</v>
      </c>
      <c r="R37" s="12">
        <v>13513</v>
      </c>
      <c r="S37" s="51">
        <v>2115</v>
      </c>
      <c r="T37" s="51"/>
      <c r="U37" s="51"/>
      <c r="V37" s="51">
        <v>289</v>
      </c>
      <c r="W37" s="50" t="s">
        <v>344</v>
      </c>
    </row>
    <row r="38" spans="1:23" ht="51">
      <c r="A38" s="52" t="s">
        <v>571</v>
      </c>
      <c r="B38" s="12">
        <v>3122.76</v>
      </c>
      <c r="C38" s="53" t="s">
        <v>333</v>
      </c>
      <c r="D38" s="53" t="s">
        <v>353</v>
      </c>
      <c r="E38" s="13">
        <v>5</v>
      </c>
      <c r="F38" s="13">
        <v>5</v>
      </c>
      <c r="G38" s="13">
        <v>2</v>
      </c>
      <c r="H38" s="13">
        <v>3</v>
      </c>
      <c r="I38" s="13">
        <v>5</v>
      </c>
      <c r="J38" s="13">
        <v>5</v>
      </c>
      <c r="K38" s="13">
        <v>1</v>
      </c>
      <c r="L38" s="13">
        <v>2</v>
      </c>
      <c r="M38" s="13">
        <v>100</v>
      </c>
      <c r="N38" s="13">
        <v>100</v>
      </c>
      <c r="O38" s="13">
        <v>0</v>
      </c>
      <c r="P38" s="13">
        <v>0</v>
      </c>
      <c r="Q38" s="53" t="s">
        <v>334</v>
      </c>
      <c r="R38" s="12">
        <v>20518</v>
      </c>
      <c r="S38" s="51">
        <v>2590</v>
      </c>
      <c r="T38" s="51"/>
      <c r="U38" s="51"/>
      <c r="V38" s="51">
        <v>1048</v>
      </c>
      <c r="W38" s="16" t="s">
        <v>572</v>
      </c>
    </row>
    <row r="39" spans="1:23" ht="38.25">
      <c r="A39" s="52" t="s">
        <v>415</v>
      </c>
      <c r="B39" s="12">
        <v>952.33</v>
      </c>
      <c r="C39" s="53" t="s">
        <v>523</v>
      </c>
      <c r="D39" s="53" t="s">
        <v>523</v>
      </c>
      <c r="E39" s="13">
        <v>4</v>
      </c>
      <c r="F39" s="13">
        <v>3</v>
      </c>
      <c r="G39" s="13">
        <v>4</v>
      </c>
      <c r="H39" s="13">
        <v>4</v>
      </c>
      <c r="I39" s="13">
        <v>4</v>
      </c>
      <c r="J39" s="13">
        <v>4</v>
      </c>
      <c r="K39" s="13">
        <v>4</v>
      </c>
      <c r="L39" s="13">
        <v>3</v>
      </c>
      <c r="M39" s="13" t="s">
        <v>342</v>
      </c>
      <c r="N39" s="13" t="s">
        <v>342</v>
      </c>
      <c r="O39" s="13" t="s">
        <v>342</v>
      </c>
      <c r="P39" s="13" t="s">
        <v>342</v>
      </c>
      <c r="Q39" s="53" t="s">
        <v>334</v>
      </c>
      <c r="R39" s="12">
        <v>3380</v>
      </c>
      <c r="S39" s="51" t="s">
        <v>101</v>
      </c>
      <c r="T39" s="51">
        <v>8</v>
      </c>
      <c r="U39" s="51">
        <v>10000</v>
      </c>
      <c r="V39" s="51" t="s">
        <v>101</v>
      </c>
      <c r="W39" s="50" t="s">
        <v>344</v>
      </c>
    </row>
    <row r="40" spans="1:23" ht="38.25">
      <c r="A40" s="52" t="s">
        <v>388</v>
      </c>
      <c r="B40" s="12" t="s">
        <v>342</v>
      </c>
      <c r="C40" s="53" t="s">
        <v>130</v>
      </c>
      <c r="D40" s="53" t="s">
        <v>130</v>
      </c>
      <c r="E40" s="13" t="s">
        <v>342</v>
      </c>
      <c r="F40" s="13" t="s">
        <v>342</v>
      </c>
      <c r="G40" s="13" t="s">
        <v>342</v>
      </c>
      <c r="H40" s="13" t="s">
        <v>342</v>
      </c>
      <c r="I40" s="13" t="s">
        <v>342</v>
      </c>
      <c r="J40" s="13" t="s">
        <v>342</v>
      </c>
      <c r="K40" s="13" t="s">
        <v>342</v>
      </c>
      <c r="L40" s="13" t="s">
        <v>342</v>
      </c>
      <c r="M40" s="13" t="s">
        <v>342</v>
      </c>
      <c r="N40" s="13" t="s">
        <v>342</v>
      </c>
      <c r="O40" s="13" t="s">
        <v>342</v>
      </c>
      <c r="P40" s="13" t="s">
        <v>342</v>
      </c>
      <c r="Q40" s="53" t="s">
        <v>334</v>
      </c>
      <c r="R40" s="12">
        <v>53213</v>
      </c>
      <c r="S40" s="51" t="s">
        <v>101</v>
      </c>
      <c r="T40" s="51" t="s">
        <v>101</v>
      </c>
      <c r="U40" s="51" t="s">
        <v>101</v>
      </c>
      <c r="V40" s="51" t="s">
        <v>101</v>
      </c>
      <c r="W40" s="50" t="s">
        <v>344</v>
      </c>
    </row>
    <row r="41" spans="1:23" ht="76.5">
      <c r="A41" s="52" t="s">
        <v>368</v>
      </c>
      <c r="B41" s="12">
        <v>218</v>
      </c>
      <c r="C41" s="53" t="s">
        <v>333</v>
      </c>
      <c r="D41" s="53" t="s">
        <v>130</v>
      </c>
      <c r="E41" s="13">
        <v>5</v>
      </c>
      <c r="F41" s="13">
        <v>2</v>
      </c>
      <c r="G41" s="13" t="s">
        <v>344</v>
      </c>
      <c r="H41" s="13">
        <v>4</v>
      </c>
      <c r="I41" s="13">
        <v>5</v>
      </c>
      <c r="J41" s="13">
        <v>5</v>
      </c>
      <c r="K41" s="13">
        <v>5</v>
      </c>
      <c r="L41" s="13">
        <v>5</v>
      </c>
      <c r="M41" s="13">
        <v>100</v>
      </c>
      <c r="N41" s="13">
        <v>100</v>
      </c>
      <c r="O41" s="13">
        <v>100</v>
      </c>
      <c r="P41" s="13">
        <v>100</v>
      </c>
      <c r="Q41" s="53" t="s">
        <v>369</v>
      </c>
      <c r="R41" s="12">
        <v>3450</v>
      </c>
      <c r="S41" s="51" t="s">
        <v>101</v>
      </c>
      <c r="T41" s="51" t="s">
        <v>101</v>
      </c>
      <c r="U41" s="51" t="s">
        <v>101</v>
      </c>
      <c r="V41" s="51">
        <v>222.7</v>
      </c>
      <c r="W41" s="50" t="s">
        <v>344</v>
      </c>
    </row>
    <row r="42" spans="1:23" ht="38.25">
      <c r="A42" s="52" t="s">
        <v>343</v>
      </c>
      <c r="B42" s="12">
        <v>418</v>
      </c>
      <c r="C42" s="53" t="s">
        <v>1</v>
      </c>
      <c r="D42" s="53" t="s">
        <v>130</v>
      </c>
      <c r="E42" s="13">
        <v>3</v>
      </c>
      <c r="F42" s="13">
        <v>3</v>
      </c>
      <c r="G42" s="13">
        <v>5</v>
      </c>
      <c r="H42" s="13" t="s">
        <v>344</v>
      </c>
      <c r="I42" s="13">
        <v>5</v>
      </c>
      <c r="J42" s="13">
        <v>5</v>
      </c>
      <c r="K42" s="13">
        <v>5</v>
      </c>
      <c r="L42" s="13">
        <v>5</v>
      </c>
      <c r="M42" s="13">
        <v>100</v>
      </c>
      <c r="N42" s="13">
        <v>100</v>
      </c>
      <c r="O42" s="13">
        <v>100</v>
      </c>
      <c r="P42" s="13">
        <v>100</v>
      </c>
      <c r="Q42" s="53" t="s">
        <v>334</v>
      </c>
      <c r="R42" s="12">
        <v>15004</v>
      </c>
      <c r="S42" s="51">
        <v>3447</v>
      </c>
      <c r="T42" s="51" t="s">
        <v>101</v>
      </c>
      <c r="U42" s="51" t="s">
        <v>101</v>
      </c>
      <c r="V42" s="51" t="s">
        <v>101</v>
      </c>
      <c r="W42" s="50" t="s">
        <v>344</v>
      </c>
    </row>
    <row r="43" spans="1:23" ht="25.5">
      <c r="A43" s="52" t="s">
        <v>340</v>
      </c>
      <c r="B43" s="12">
        <v>120</v>
      </c>
      <c r="C43" s="53" t="s">
        <v>341</v>
      </c>
      <c r="D43" s="53" t="s">
        <v>341</v>
      </c>
      <c r="E43" s="13">
        <v>4</v>
      </c>
      <c r="F43" s="13">
        <v>4</v>
      </c>
      <c r="G43" s="13">
        <v>4</v>
      </c>
      <c r="H43" s="13">
        <v>4</v>
      </c>
      <c r="I43" s="13">
        <v>4</v>
      </c>
      <c r="J43" s="13">
        <v>4</v>
      </c>
      <c r="K43" s="13">
        <v>4</v>
      </c>
      <c r="L43" s="13">
        <v>4</v>
      </c>
      <c r="M43" s="13">
        <v>100</v>
      </c>
      <c r="N43" s="13">
        <v>100</v>
      </c>
      <c r="O43" s="13">
        <v>100</v>
      </c>
      <c r="P43" s="13">
        <v>100</v>
      </c>
      <c r="Q43" s="53" t="s">
        <v>334</v>
      </c>
      <c r="R43" s="12">
        <v>4300</v>
      </c>
      <c r="S43" s="51">
        <v>3235</v>
      </c>
      <c r="T43" s="51" t="s">
        <v>101</v>
      </c>
      <c r="U43" s="51" t="s">
        <v>101</v>
      </c>
      <c r="V43" s="51" t="s">
        <v>101</v>
      </c>
      <c r="W43" s="50" t="s">
        <v>344</v>
      </c>
    </row>
    <row r="44" spans="1:23" ht="25.5">
      <c r="A44" s="52" t="s">
        <v>367</v>
      </c>
      <c r="B44" s="12">
        <v>670</v>
      </c>
      <c r="C44" s="53" t="s">
        <v>132</v>
      </c>
      <c r="D44" s="53" t="s">
        <v>130</v>
      </c>
      <c r="E44" s="13">
        <v>3</v>
      </c>
      <c r="F44" s="13">
        <v>3</v>
      </c>
      <c r="G44" s="13">
        <v>3</v>
      </c>
      <c r="H44" s="13">
        <v>3</v>
      </c>
      <c r="I44" s="13">
        <v>1</v>
      </c>
      <c r="J44" s="13">
        <v>3</v>
      </c>
      <c r="K44" s="13">
        <v>2</v>
      </c>
      <c r="L44" s="13">
        <v>2</v>
      </c>
      <c r="M44" s="13">
        <v>0</v>
      </c>
      <c r="N44" s="13">
        <v>0</v>
      </c>
      <c r="O44" s="13">
        <v>0</v>
      </c>
      <c r="P44" s="13">
        <v>0</v>
      </c>
      <c r="Q44" s="53" t="s">
        <v>334</v>
      </c>
      <c r="R44" s="12">
        <v>70078.350000000006</v>
      </c>
      <c r="S44" s="51" t="s">
        <v>101</v>
      </c>
      <c r="T44" s="51" t="s">
        <v>101</v>
      </c>
      <c r="U44" s="51">
        <v>17800</v>
      </c>
      <c r="V44" s="51" t="s">
        <v>101</v>
      </c>
      <c r="W44" s="50" t="s">
        <v>344</v>
      </c>
    </row>
    <row r="45" spans="1:23" ht="38.25">
      <c r="A45" s="52" t="s">
        <v>531</v>
      </c>
      <c r="B45" s="12">
        <v>749.68</v>
      </c>
      <c r="C45" s="53" t="s">
        <v>442</v>
      </c>
      <c r="D45" s="53" t="s">
        <v>406</v>
      </c>
      <c r="E45" s="13">
        <v>3</v>
      </c>
      <c r="F45" s="13">
        <v>5</v>
      </c>
      <c r="G45" s="13">
        <v>3</v>
      </c>
      <c r="H45" s="13">
        <v>4</v>
      </c>
      <c r="I45" s="13">
        <v>4</v>
      </c>
      <c r="J45" s="13">
        <v>4</v>
      </c>
      <c r="K45" s="13">
        <v>1</v>
      </c>
      <c r="L45" s="13">
        <v>3</v>
      </c>
      <c r="M45" s="13">
        <v>50</v>
      </c>
      <c r="N45" s="13">
        <v>50</v>
      </c>
      <c r="O45" s="13">
        <v>0</v>
      </c>
      <c r="P45" s="13">
        <v>0</v>
      </c>
      <c r="Q45" s="53" t="s">
        <v>334</v>
      </c>
      <c r="R45" s="12">
        <v>13543</v>
      </c>
      <c r="S45" s="51">
        <v>536</v>
      </c>
      <c r="T45" s="51">
        <v>26.5</v>
      </c>
      <c r="U45" s="51" t="s">
        <v>101</v>
      </c>
      <c r="V45" s="51" t="s">
        <v>101</v>
      </c>
      <c r="W45" s="50" t="s">
        <v>344</v>
      </c>
    </row>
    <row r="46" spans="1:23" ht="62.25" customHeight="1">
      <c r="A46" s="52" t="s">
        <v>392</v>
      </c>
      <c r="B46" s="12" t="s">
        <v>342</v>
      </c>
      <c r="C46" s="53" t="s">
        <v>130</v>
      </c>
      <c r="D46" s="53" t="s">
        <v>130</v>
      </c>
      <c r="E46" s="13" t="s">
        <v>342</v>
      </c>
      <c r="F46" s="13" t="s">
        <v>342</v>
      </c>
      <c r="G46" s="13" t="s">
        <v>342</v>
      </c>
      <c r="H46" s="13" t="s">
        <v>342</v>
      </c>
      <c r="I46" s="13" t="s">
        <v>342</v>
      </c>
      <c r="J46" s="13" t="s">
        <v>342</v>
      </c>
      <c r="K46" s="13" t="s">
        <v>342</v>
      </c>
      <c r="L46" s="13" t="s">
        <v>342</v>
      </c>
      <c r="M46" s="13" t="s">
        <v>342</v>
      </c>
      <c r="N46" s="13" t="s">
        <v>342</v>
      </c>
      <c r="O46" s="13" t="s">
        <v>342</v>
      </c>
      <c r="P46" s="13" t="s">
        <v>342</v>
      </c>
      <c r="Q46" s="53" t="s">
        <v>334</v>
      </c>
      <c r="R46" s="12">
        <v>32126</v>
      </c>
      <c r="S46" s="51" t="s">
        <v>101</v>
      </c>
      <c r="T46" s="51" t="s">
        <v>101</v>
      </c>
      <c r="U46" s="51" t="s">
        <v>101</v>
      </c>
      <c r="V46" s="51" t="s">
        <v>101</v>
      </c>
      <c r="W46" s="50" t="s">
        <v>344</v>
      </c>
    </row>
    <row r="47" spans="1:23" ht="51">
      <c r="A47" s="52" t="s">
        <v>416</v>
      </c>
      <c r="B47" s="12">
        <v>5942</v>
      </c>
      <c r="C47" s="53" t="s">
        <v>333</v>
      </c>
      <c r="D47" s="53" t="s">
        <v>333</v>
      </c>
      <c r="E47" s="13">
        <v>4</v>
      </c>
      <c r="F47" s="13">
        <v>2</v>
      </c>
      <c r="G47" s="13">
        <v>3</v>
      </c>
      <c r="H47" s="13">
        <v>4</v>
      </c>
      <c r="I47" s="13">
        <v>4</v>
      </c>
      <c r="J47" s="13">
        <v>4</v>
      </c>
      <c r="K47" s="13">
        <v>3</v>
      </c>
      <c r="L47" s="13">
        <v>4</v>
      </c>
      <c r="M47" s="13">
        <v>100</v>
      </c>
      <c r="N47" s="13">
        <v>70</v>
      </c>
      <c r="O47" s="13">
        <v>40</v>
      </c>
      <c r="P47" s="13">
        <v>60</v>
      </c>
      <c r="Q47" s="53" t="s">
        <v>357</v>
      </c>
      <c r="R47" s="12">
        <v>79920</v>
      </c>
      <c r="S47" s="51">
        <v>1481</v>
      </c>
      <c r="T47" s="51" t="s">
        <v>101</v>
      </c>
      <c r="U47" s="51" t="s">
        <v>101</v>
      </c>
      <c r="V47" s="51">
        <v>2883</v>
      </c>
      <c r="W47" s="50" t="s">
        <v>344</v>
      </c>
    </row>
    <row r="48" spans="1:23" ht="25.5">
      <c r="A48" s="52" t="s">
        <v>373</v>
      </c>
      <c r="B48" s="12">
        <v>2061.5</v>
      </c>
      <c r="C48" s="53" t="s">
        <v>333</v>
      </c>
      <c r="D48" s="53" t="s">
        <v>130</v>
      </c>
      <c r="E48" s="13">
        <v>4</v>
      </c>
      <c r="F48" s="13">
        <v>4</v>
      </c>
      <c r="G48" s="13">
        <v>3</v>
      </c>
      <c r="H48" s="13">
        <v>4</v>
      </c>
      <c r="I48" s="13">
        <v>3</v>
      </c>
      <c r="J48" s="13">
        <v>4</v>
      </c>
      <c r="K48" s="13">
        <v>3</v>
      </c>
      <c r="L48" s="13">
        <v>3</v>
      </c>
      <c r="M48" s="13">
        <v>20</v>
      </c>
      <c r="N48" s="13">
        <v>100</v>
      </c>
      <c r="O48" s="13">
        <v>0</v>
      </c>
      <c r="P48" s="13">
        <v>0</v>
      </c>
      <c r="Q48" s="53" t="s">
        <v>334</v>
      </c>
      <c r="R48" s="12">
        <v>49850</v>
      </c>
      <c r="S48" s="51" t="s">
        <v>101</v>
      </c>
      <c r="T48" s="51" t="s">
        <v>101</v>
      </c>
      <c r="U48" s="51" t="s">
        <v>101</v>
      </c>
      <c r="V48" s="51">
        <v>1691</v>
      </c>
      <c r="W48" s="50" t="s">
        <v>344</v>
      </c>
    </row>
    <row r="49" spans="1:23" ht="25.5">
      <c r="A49" s="52" t="s">
        <v>532</v>
      </c>
      <c r="B49" s="12">
        <v>6172</v>
      </c>
      <c r="C49" s="53" t="s">
        <v>333</v>
      </c>
      <c r="D49" s="53" t="s">
        <v>333</v>
      </c>
      <c r="E49" s="13">
        <v>5</v>
      </c>
      <c r="F49" s="13">
        <v>5</v>
      </c>
      <c r="G49" s="13">
        <v>5</v>
      </c>
      <c r="H49" s="13">
        <v>5</v>
      </c>
      <c r="I49" s="13">
        <v>5</v>
      </c>
      <c r="J49" s="13">
        <v>5</v>
      </c>
      <c r="K49" s="13">
        <v>5</v>
      </c>
      <c r="L49" s="13">
        <v>5</v>
      </c>
      <c r="M49" s="13">
        <v>100</v>
      </c>
      <c r="N49" s="13">
        <v>100</v>
      </c>
      <c r="O49" s="13">
        <v>100</v>
      </c>
      <c r="P49" s="13">
        <v>100</v>
      </c>
      <c r="Q49" s="53" t="s">
        <v>334</v>
      </c>
      <c r="R49" s="12">
        <v>777659</v>
      </c>
      <c r="S49" s="51" t="s">
        <v>101</v>
      </c>
      <c r="T49" s="51" t="s">
        <v>101</v>
      </c>
      <c r="U49" s="51" t="s">
        <v>101</v>
      </c>
      <c r="V49" s="51">
        <v>2056</v>
      </c>
      <c r="W49" s="50" t="s">
        <v>344</v>
      </c>
    </row>
    <row r="50" spans="1:23" ht="38.25">
      <c r="A50" s="52" t="s">
        <v>439</v>
      </c>
      <c r="B50" s="12">
        <v>520.9</v>
      </c>
      <c r="C50" s="53" t="s">
        <v>333</v>
      </c>
      <c r="D50" s="53" t="s">
        <v>130</v>
      </c>
      <c r="E50" s="13">
        <v>4</v>
      </c>
      <c r="F50" s="13">
        <v>4</v>
      </c>
      <c r="G50" s="13">
        <v>3</v>
      </c>
      <c r="H50" s="13">
        <v>3</v>
      </c>
      <c r="I50" s="13">
        <v>4</v>
      </c>
      <c r="J50" s="13">
        <v>4</v>
      </c>
      <c r="K50" s="13">
        <v>3</v>
      </c>
      <c r="L50" s="13">
        <v>3</v>
      </c>
      <c r="M50" s="13">
        <v>0</v>
      </c>
      <c r="N50" s="13">
        <v>0</v>
      </c>
      <c r="O50" s="13">
        <v>0</v>
      </c>
      <c r="P50" s="13">
        <v>0</v>
      </c>
      <c r="Q50" s="53" t="s">
        <v>438</v>
      </c>
      <c r="R50" s="51">
        <v>34379</v>
      </c>
      <c r="S50" s="28" t="s">
        <v>101</v>
      </c>
      <c r="T50" s="51" t="s">
        <v>101</v>
      </c>
      <c r="U50" s="51" t="s">
        <v>101</v>
      </c>
      <c r="V50" s="51">
        <v>315</v>
      </c>
      <c r="W50" s="50" t="s">
        <v>344</v>
      </c>
    </row>
    <row r="51" spans="1:23" ht="38.25">
      <c r="A51" s="15" t="s">
        <v>391</v>
      </c>
      <c r="B51" s="12" t="s">
        <v>342</v>
      </c>
      <c r="C51" s="53" t="s">
        <v>333</v>
      </c>
      <c r="D51" s="53" t="s">
        <v>389</v>
      </c>
      <c r="E51" s="13">
        <v>5</v>
      </c>
      <c r="F51" s="13">
        <v>3</v>
      </c>
      <c r="G51" s="13">
        <v>2</v>
      </c>
      <c r="H51" s="13">
        <v>4</v>
      </c>
      <c r="I51" s="13">
        <v>3</v>
      </c>
      <c r="J51" s="13">
        <v>4</v>
      </c>
      <c r="K51" s="13">
        <v>4</v>
      </c>
      <c r="L51" s="13">
        <v>4</v>
      </c>
      <c r="M51" s="13">
        <v>10</v>
      </c>
      <c r="N51" s="13">
        <v>50</v>
      </c>
      <c r="O51" s="13">
        <v>80</v>
      </c>
      <c r="P51" s="13">
        <v>30</v>
      </c>
      <c r="Q51" s="53" t="s">
        <v>334</v>
      </c>
      <c r="R51" s="12">
        <f>947430+405442+39363</f>
        <v>1392235</v>
      </c>
      <c r="S51" s="51">
        <v>744678</v>
      </c>
      <c r="T51" s="51" t="s">
        <v>101</v>
      </c>
      <c r="U51" s="51" t="s">
        <v>101</v>
      </c>
      <c r="V51" s="51">
        <v>10476</v>
      </c>
      <c r="W51" s="16" t="s">
        <v>390</v>
      </c>
    </row>
    <row r="52" spans="1:23" ht="25.5">
      <c r="A52" s="52" t="s">
        <v>394</v>
      </c>
      <c r="B52" s="12">
        <v>3051</v>
      </c>
      <c r="C52" s="53" t="s">
        <v>333</v>
      </c>
      <c r="D52" s="53" t="s">
        <v>130</v>
      </c>
      <c r="E52" s="13">
        <v>4</v>
      </c>
      <c r="F52" s="13">
        <v>2</v>
      </c>
      <c r="G52" s="13" t="s">
        <v>382</v>
      </c>
      <c r="H52" s="13" t="s">
        <v>344</v>
      </c>
      <c r="I52" s="13">
        <v>4</v>
      </c>
      <c r="J52" s="13">
        <v>4</v>
      </c>
      <c r="K52" s="13">
        <v>4</v>
      </c>
      <c r="L52" s="13">
        <v>4</v>
      </c>
      <c r="M52" s="13">
        <v>100</v>
      </c>
      <c r="N52" s="13">
        <v>100</v>
      </c>
      <c r="O52" s="13">
        <v>100</v>
      </c>
      <c r="P52" s="13">
        <v>100</v>
      </c>
      <c r="Q52" s="53" t="s">
        <v>393</v>
      </c>
      <c r="R52" s="12">
        <v>175218</v>
      </c>
      <c r="S52" s="51" t="s">
        <v>101</v>
      </c>
      <c r="T52" s="51" t="s">
        <v>101</v>
      </c>
      <c r="U52" s="51" t="s">
        <v>101</v>
      </c>
      <c r="V52" s="51">
        <v>1220</v>
      </c>
      <c r="W52" s="50" t="s">
        <v>344</v>
      </c>
    </row>
    <row r="53" spans="1:23" ht="25.5">
      <c r="A53" s="52" t="s">
        <v>533</v>
      </c>
      <c r="B53" s="12">
        <v>593</v>
      </c>
      <c r="C53" s="53" t="s">
        <v>333</v>
      </c>
      <c r="D53" s="53" t="s">
        <v>130</v>
      </c>
      <c r="E53" s="13">
        <v>5</v>
      </c>
      <c r="F53" s="13">
        <v>5</v>
      </c>
      <c r="G53" s="13" t="s">
        <v>344</v>
      </c>
      <c r="H53" s="13" t="s">
        <v>344</v>
      </c>
      <c r="I53" s="13">
        <v>5</v>
      </c>
      <c r="J53" s="13">
        <v>5</v>
      </c>
      <c r="K53" s="13">
        <v>4</v>
      </c>
      <c r="L53" s="13">
        <v>4</v>
      </c>
      <c r="M53" s="13">
        <v>100</v>
      </c>
      <c r="N53" s="13">
        <v>100</v>
      </c>
      <c r="O53" s="13">
        <v>100</v>
      </c>
      <c r="P53" s="13">
        <v>100</v>
      </c>
      <c r="Q53" s="53" t="s">
        <v>334</v>
      </c>
      <c r="R53" s="12">
        <v>22492</v>
      </c>
      <c r="S53" s="51" t="s">
        <v>101</v>
      </c>
      <c r="T53" s="51" t="s">
        <v>101</v>
      </c>
      <c r="U53" s="51" t="s">
        <v>101</v>
      </c>
      <c r="V53" s="51">
        <v>514</v>
      </c>
      <c r="W53" s="50" t="s">
        <v>344</v>
      </c>
    </row>
    <row r="54" spans="1:23" ht="63.75">
      <c r="A54" s="52" t="s">
        <v>376</v>
      </c>
      <c r="B54" s="12">
        <v>1843</v>
      </c>
      <c r="C54" s="53" t="s">
        <v>1</v>
      </c>
      <c r="D54" s="53" t="s">
        <v>1</v>
      </c>
      <c r="E54" s="13">
        <v>3</v>
      </c>
      <c r="F54" s="13">
        <v>3</v>
      </c>
      <c r="G54" s="13">
        <v>3</v>
      </c>
      <c r="H54" s="13">
        <v>4</v>
      </c>
      <c r="I54" s="13">
        <v>4</v>
      </c>
      <c r="J54" s="13">
        <v>4</v>
      </c>
      <c r="K54" s="13">
        <v>4</v>
      </c>
      <c r="L54" s="13">
        <v>5</v>
      </c>
      <c r="M54" s="13" t="s">
        <v>342</v>
      </c>
      <c r="N54" s="13" t="s">
        <v>342</v>
      </c>
      <c r="O54" s="13" t="s">
        <v>342</v>
      </c>
      <c r="P54" s="13">
        <v>100</v>
      </c>
      <c r="Q54" s="53" t="s">
        <v>334</v>
      </c>
      <c r="R54" s="12">
        <v>13670</v>
      </c>
      <c r="S54" s="51">
        <v>24038</v>
      </c>
      <c r="T54" s="51" t="s">
        <v>101</v>
      </c>
      <c r="U54" s="51" t="s">
        <v>101</v>
      </c>
      <c r="V54" s="51" t="s">
        <v>101</v>
      </c>
      <c r="W54" s="50" t="s">
        <v>344</v>
      </c>
    </row>
    <row r="55" spans="1:23" ht="25.5">
      <c r="A55" s="52" t="s">
        <v>411</v>
      </c>
      <c r="B55" s="12">
        <v>106.65</v>
      </c>
      <c r="C55" s="53" t="s">
        <v>333</v>
      </c>
      <c r="D55" s="53" t="s">
        <v>1</v>
      </c>
      <c r="E55" s="13" t="s">
        <v>342</v>
      </c>
      <c r="F55" s="13">
        <v>4</v>
      </c>
      <c r="G55" s="13" t="s">
        <v>342</v>
      </c>
      <c r="H55" s="13" t="s">
        <v>342</v>
      </c>
      <c r="I55" s="13">
        <v>4</v>
      </c>
      <c r="J55" s="13">
        <v>5</v>
      </c>
      <c r="K55" s="13">
        <v>4</v>
      </c>
      <c r="L55" s="13">
        <v>4</v>
      </c>
      <c r="M55" s="13" t="s">
        <v>342</v>
      </c>
      <c r="N55" s="13">
        <v>100</v>
      </c>
      <c r="O55" s="13">
        <v>100</v>
      </c>
      <c r="P55" s="13">
        <v>100</v>
      </c>
      <c r="Q55" s="53" t="s">
        <v>334</v>
      </c>
      <c r="R55" s="12">
        <v>1734</v>
      </c>
      <c r="S55" s="51" t="s">
        <v>101</v>
      </c>
      <c r="T55" s="51" t="s">
        <v>101</v>
      </c>
      <c r="U55" s="51" t="s">
        <v>101</v>
      </c>
      <c r="V55" s="51" t="s">
        <v>101</v>
      </c>
      <c r="W55" s="50" t="s">
        <v>344</v>
      </c>
    </row>
    <row r="56" spans="1:23" ht="51">
      <c r="A56" s="52" t="s">
        <v>375</v>
      </c>
      <c r="B56" s="12" t="s">
        <v>342</v>
      </c>
      <c r="C56" s="53" t="s">
        <v>442</v>
      </c>
      <c r="D56" s="53" t="s">
        <v>130</v>
      </c>
      <c r="E56" s="13">
        <v>1</v>
      </c>
      <c r="F56" s="13">
        <v>2</v>
      </c>
      <c r="G56" s="13">
        <v>2</v>
      </c>
      <c r="H56" s="13">
        <v>4</v>
      </c>
      <c r="I56" s="13">
        <v>5</v>
      </c>
      <c r="J56" s="13">
        <v>5</v>
      </c>
      <c r="K56" s="13">
        <v>5</v>
      </c>
      <c r="L56" s="13">
        <v>5</v>
      </c>
      <c r="M56" s="13">
        <v>100</v>
      </c>
      <c r="N56" s="13">
        <v>100</v>
      </c>
      <c r="O56" s="13">
        <v>100</v>
      </c>
      <c r="P56" s="13">
        <v>100</v>
      </c>
      <c r="Q56" s="53" t="s">
        <v>334</v>
      </c>
      <c r="R56" s="12">
        <v>14834</v>
      </c>
      <c r="S56" s="13" t="s">
        <v>101</v>
      </c>
      <c r="T56" s="51">
        <v>12</v>
      </c>
      <c r="U56" s="51" t="s">
        <v>101</v>
      </c>
      <c r="V56" s="51" t="s">
        <v>101</v>
      </c>
      <c r="W56" s="50" t="s">
        <v>344</v>
      </c>
    </row>
    <row r="57" spans="1:23" ht="38.25">
      <c r="A57" s="52" t="s">
        <v>433</v>
      </c>
      <c r="B57" s="12">
        <v>3414.72</v>
      </c>
      <c r="C57" s="53" t="s">
        <v>1</v>
      </c>
      <c r="D57" s="53" t="s">
        <v>1</v>
      </c>
      <c r="E57" s="13">
        <v>5</v>
      </c>
      <c r="F57" s="13">
        <v>4</v>
      </c>
      <c r="G57" s="13">
        <v>4</v>
      </c>
      <c r="H57" s="13">
        <v>4</v>
      </c>
      <c r="I57" s="13">
        <v>5</v>
      </c>
      <c r="J57" s="13">
        <v>4</v>
      </c>
      <c r="K57" s="13">
        <v>4</v>
      </c>
      <c r="L57" s="13">
        <v>3</v>
      </c>
      <c r="M57" s="13">
        <v>100</v>
      </c>
      <c r="N57" s="13">
        <v>100</v>
      </c>
      <c r="O57" s="13">
        <v>100</v>
      </c>
      <c r="P57" s="13" t="s">
        <v>342</v>
      </c>
      <c r="Q57" s="53" t="s">
        <v>334</v>
      </c>
      <c r="R57" s="12">
        <v>48790</v>
      </c>
      <c r="S57" s="51">
        <v>309130</v>
      </c>
      <c r="T57" s="51">
        <v>23.23</v>
      </c>
      <c r="U57" s="51" t="s">
        <v>101</v>
      </c>
      <c r="V57" s="51" t="s">
        <v>101</v>
      </c>
      <c r="W57" s="50" t="s">
        <v>344</v>
      </c>
    </row>
    <row r="58" spans="1:23" ht="25.5">
      <c r="A58" s="52" t="s">
        <v>412</v>
      </c>
      <c r="B58" s="12">
        <v>2756.95</v>
      </c>
      <c r="C58" s="53" t="s">
        <v>333</v>
      </c>
      <c r="D58" s="53" t="s">
        <v>333</v>
      </c>
      <c r="E58" s="13">
        <v>5</v>
      </c>
      <c r="F58" s="13">
        <v>5</v>
      </c>
      <c r="G58" s="13">
        <v>5</v>
      </c>
      <c r="H58" s="13">
        <v>3</v>
      </c>
      <c r="I58" s="13">
        <v>5</v>
      </c>
      <c r="J58" s="13">
        <v>3</v>
      </c>
      <c r="K58" s="13">
        <v>4</v>
      </c>
      <c r="L58" s="13">
        <v>4</v>
      </c>
      <c r="M58" s="13" t="s">
        <v>342</v>
      </c>
      <c r="N58" s="13">
        <v>60</v>
      </c>
      <c r="O58" s="13" t="s">
        <v>342</v>
      </c>
      <c r="P58" s="13" t="s">
        <v>342</v>
      </c>
      <c r="Q58" s="53" t="s">
        <v>334</v>
      </c>
      <c r="R58" s="12">
        <v>42796</v>
      </c>
      <c r="S58" s="13" t="s">
        <v>101</v>
      </c>
      <c r="T58" s="51" t="s">
        <v>101</v>
      </c>
      <c r="U58" s="51" t="s">
        <v>101</v>
      </c>
      <c r="V58" s="51">
        <v>1036</v>
      </c>
      <c r="W58" s="50"/>
    </row>
    <row r="59" spans="1:23" ht="25.5">
      <c r="A59" s="52" t="s">
        <v>386</v>
      </c>
      <c r="B59" s="12">
        <v>3858</v>
      </c>
      <c r="C59" s="53" t="s">
        <v>132</v>
      </c>
      <c r="D59" s="53" t="s">
        <v>132</v>
      </c>
      <c r="E59" s="13">
        <v>4</v>
      </c>
      <c r="F59" s="13">
        <v>4</v>
      </c>
      <c r="G59" s="13">
        <v>4</v>
      </c>
      <c r="H59" s="13">
        <v>4</v>
      </c>
      <c r="I59" s="13">
        <v>4</v>
      </c>
      <c r="J59" s="13">
        <v>4</v>
      </c>
      <c r="K59" s="13">
        <v>4</v>
      </c>
      <c r="L59" s="13">
        <v>4</v>
      </c>
      <c r="M59" s="13">
        <v>100</v>
      </c>
      <c r="N59" s="13">
        <v>80</v>
      </c>
      <c r="O59" s="13">
        <v>100</v>
      </c>
      <c r="P59" s="13">
        <v>100</v>
      </c>
      <c r="Q59" s="53" t="s">
        <v>334</v>
      </c>
      <c r="R59" s="12">
        <v>55605</v>
      </c>
      <c r="S59" s="13" t="s">
        <v>101</v>
      </c>
      <c r="T59" s="51" t="s">
        <v>101</v>
      </c>
      <c r="U59" s="51">
        <v>29201</v>
      </c>
      <c r="V59" s="51" t="s">
        <v>101</v>
      </c>
      <c r="W59" s="50" t="s">
        <v>344</v>
      </c>
    </row>
    <row r="60" spans="1:23" ht="51">
      <c r="A60" s="52" t="s">
        <v>534</v>
      </c>
      <c r="B60" s="12">
        <v>5512</v>
      </c>
      <c r="C60" s="53" t="s">
        <v>333</v>
      </c>
      <c r="D60" s="53" t="s">
        <v>333</v>
      </c>
      <c r="E60" s="13">
        <v>4</v>
      </c>
      <c r="F60" s="13">
        <v>4</v>
      </c>
      <c r="G60" s="13">
        <v>4</v>
      </c>
      <c r="H60" s="13">
        <v>4</v>
      </c>
      <c r="I60" s="13">
        <v>3</v>
      </c>
      <c r="J60" s="13">
        <v>3</v>
      </c>
      <c r="K60" s="13">
        <v>4</v>
      </c>
      <c r="L60" s="13">
        <v>3</v>
      </c>
      <c r="M60" s="13">
        <v>25</v>
      </c>
      <c r="N60" s="13">
        <v>0</v>
      </c>
      <c r="O60" s="13">
        <v>75</v>
      </c>
      <c r="P60" s="13">
        <v>0</v>
      </c>
      <c r="Q60" s="53" t="s">
        <v>351</v>
      </c>
      <c r="R60" s="12">
        <v>103082</v>
      </c>
      <c r="S60" s="13" t="s">
        <v>101</v>
      </c>
      <c r="T60" s="51" t="s">
        <v>101</v>
      </c>
      <c r="U60" s="51" t="s">
        <v>101</v>
      </c>
      <c r="V60" s="51">
        <v>2500</v>
      </c>
      <c r="W60" s="50" t="s">
        <v>344</v>
      </c>
    </row>
    <row r="61" spans="1:23" ht="63.75">
      <c r="A61" s="52" t="s">
        <v>535</v>
      </c>
      <c r="B61" s="12">
        <v>7827</v>
      </c>
      <c r="C61" s="53" t="s">
        <v>333</v>
      </c>
      <c r="D61" s="53" t="s">
        <v>130</v>
      </c>
      <c r="E61" s="13">
        <v>4</v>
      </c>
      <c r="F61" s="13">
        <v>4</v>
      </c>
      <c r="G61" s="13" t="s">
        <v>344</v>
      </c>
      <c r="H61" s="13">
        <v>2</v>
      </c>
      <c r="I61" s="13">
        <v>4</v>
      </c>
      <c r="J61" s="13">
        <v>4</v>
      </c>
      <c r="K61" s="13">
        <v>4</v>
      </c>
      <c r="L61" s="13">
        <v>3</v>
      </c>
      <c r="M61" s="13">
        <v>100</v>
      </c>
      <c r="N61" s="13">
        <v>100</v>
      </c>
      <c r="O61" s="13">
        <v>100</v>
      </c>
      <c r="P61" s="13">
        <v>100</v>
      </c>
      <c r="Q61" s="53" t="s">
        <v>350</v>
      </c>
      <c r="R61" s="12">
        <v>149767</v>
      </c>
      <c r="S61" s="13" t="s">
        <v>101</v>
      </c>
      <c r="T61" s="51" t="s">
        <v>101</v>
      </c>
      <c r="U61" s="51" t="s">
        <v>101</v>
      </c>
      <c r="V61" s="51">
        <v>1401</v>
      </c>
      <c r="W61" s="50" t="s">
        <v>344</v>
      </c>
    </row>
    <row r="62" spans="1:23" ht="38.25">
      <c r="A62" s="52" t="s">
        <v>408</v>
      </c>
      <c r="B62" s="12">
        <v>1010.17</v>
      </c>
      <c r="C62" s="53" t="s">
        <v>333</v>
      </c>
      <c r="D62" s="53" t="s">
        <v>333</v>
      </c>
      <c r="E62" s="13">
        <v>4</v>
      </c>
      <c r="F62" s="13">
        <v>2</v>
      </c>
      <c r="G62" s="13">
        <v>4</v>
      </c>
      <c r="H62" s="13">
        <v>3</v>
      </c>
      <c r="I62" s="13">
        <v>4</v>
      </c>
      <c r="J62" s="13">
        <v>4</v>
      </c>
      <c r="K62" s="13">
        <v>2</v>
      </c>
      <c r="L62" s="13">
        <v>2</v>
      </c>
      <c r="M62" s="13">
        <v>100</v>
      </c>
      <c r="N62" s="13">
        <v>100</v>
      </c>
      <c r="O62" s="13">
        <v>0</v>
      </c>
      <c r="P62" s="13">
        <v>0</v>
      </c>
      <c r="Q62" s="53" t="s">
        <v>334</v>
      </c>
      <c r="R62" s="12">
        <v>12551</v>
      </c>
      <c r="S62" s="51">
        <v>446</v>
      </c>
      <c r="T62" s="51" t="s">
        <v>101</v>
      </c>
      <c r="U62" s="51" t="s">
        <v>101</v>
      </c>
      <c r="V62" s="51">
        <v>574</v>
      </c>
      <c r="W62" s="50" t="s">
        <v>344</v>
      </c>
    </row>
    <row r="63" spans="1:23" ht="25.5">
      <c r="A63" s="52" t="s">
        <v>567</v>
      </c>
      <c r="B63" s="12">
        <v>5239.5</v>
      </c>
      <c r="C63" s="53" t="s">
        <v>333</v>
      </c>
      <c r="D63" s="53" t="s">
        <v>333</v>
      </c>
      <c r="E63" s="13">
        <v>5</v>
      </c>
      <c r="F63" s="13">
        <v>4</v>
      </c>
      <c r="G63" s="13">
        <v>4</v>
      </c>
      <c r="H63" s="13">
        <v>4</v>
      </c>
      <c r="I63" s="13">
        <v>5</v>
      </c>
      <c r="J63" s="13">
        <v>5</v>
      </c>
      <c r="K63" s="13">
        <v>4</v>
      </c>
      <c r="L63" s="13">
        <v>4</v>
      </c>
      <c r="M63" s="13" t="s">
        <v>342</v>
      </c>
      <c r="N63" s="13" t="s">
        <v>342</v>
      </c>
      <c r="O63" s="13" t="s">
        <v>342</v>
      </c>
      <c r="P63" s="13" t="s">
        <v>342</v>
      </c>
      <c r="Q63" s="53" t="s">
        <v>334</v>
      </c>
      <c r="R63" s="12">
        <v>615126</v>
      </c>
      <c r="S63" s="51">
        <v>39772.81</v>
      </c>
      <c r="T63" s="51" t="s">
        <v>101</v>
      </c>
      <c r="U63" s="51" t="s">
        <v>101</v>
      </c>
      <c r="V63" s="51">
        <v>5319</v>
      </c>
      <c r="W63" s="50" t="s">
        <v>344</v>
      </c>
    </row>
    <row r="64" spans="1:23" ht="25.5">
      <c r="A64" s="52" t="s">
        <v>566</v>
      </c>
      <c r="B64" s="12">
        <v>9239</v>
      </c>
      <c r="C64" s="53" t="s">
        <v>1</v>
      </c>
      <c r="D64" s="53" t="s">
        <v>1</v>
      </c>
      <c r="E64" s="13">
        <v>4</v>
      </c>
      <c r="F64" s="13">
        <v>4</v>
      </c>
      <c r="G64" s="13">
        <v>3</v>
      </c>
      <c r="H64" s="13">
        <v>4</v>
      </c>
      <c r="I64" s="13">
        <v>5</v>
      </c>
      <c r="J64" s="13">
        <v>5</v>
      </c>
      <c r="K64" s="13">
        <v>3</v>
      </c>
      <c r="L64" s="13">
        <v>4</v>
      </c>
      <c r="M64" s="13" t="s">
        <v>342</v>
      </c>
      <c r="N64" s="13" t="s">
        <v>342</v>
      </c>
      <c r="O64" s="13" t="s">
        <v>342</v>
      </c>
      <c r="P64" s="13" t="s">
        <v>342</v>
      </c>
      <c r="Q64" s="53" t="s">
        <v>334</v>
      </c>
      <c r="R64" s="12">
        <v>17906</v>
      </c>
      <c r="S64" s="51">
        <v>313261.57</v>
      </c>
      <c r="T64" s="51" t="s">
        <v>101</v>
      </c>
      <c r="U64" s="51" t="s">
        <v>101</v>
      </c>
      <c r="V64" s="51" t="s">
        <v>101</v>
      </c>
      <c r="W64" s="50" t="s">
        <v>344</v>
      </c>
    </row>
    <row r="65" spans="1:25" ht="51">
      <c r="A65" s="52" t="s">
        <v>358</v>
      </c>
      <c r="B65" s="12">
        <v>11500</v>
      </c>
      <c r="C65" s="53" t="s">
        <v>1</v>
      </c>
      <c r="D65" s="53" t="s">
        <v>130</v>
      </c>
      <c r="E65" s="13">
        <v>3</v>
      </c>
      <c r="F65" s="13">
        <v>3</v>
      </c>
      <c r="G65" s="13">
        <v>3</v>
      </c>
      <c r="H65" s="13">
        <v>3</v>
      </c>
      <c r="I65" s="13">
        <v>3</v>
      </c>
      <c r="J65" s="13">
        <v>3</v>
      </c>
      <c r="K65" s="13">
        <v>3</v>
      </c>
      <c r="L65" s="13">
        <v>3</v>
      </c>
      <c r="M65" s="13">
        <v>50</v>
      </c>
      <c r="N65" s="13">
        <v>100</v>
      </c>
      <c r="O65" s="13">
        <v>100</v>
      </c>
      <c r="P65" s="13">
        <v>50</v>
      </c>
      <c r="Q65" s="53" t="s">
        <v>334</v>
      </c>
      <c r="R65" s="12">
        <v>27002</v>
      </c>
      <c r="S65" s="13" t="s">
        <v>101</v>
      </c>
      <c r="T65" s="51" t="s">
        <v>101</v>
      </c>
      <c r="U65" s="51" t="s">
        <v>101</v>
      </c>
      <c r="V65" s="51">
        <v>622</v>
      </c>
      <c r="W65" s="50" t="s">
        <v>344</v>
      </c>
    </row>
    <row r="66" spans="1:25" ht="38.25">
      <c r="A66" s="52" t="s">
        <v>437</v>
      </c>
      <c r="B66" s="12">
        <v>1008.34</v>
      </c>
      <c r="C66" s="53" t="s">
        <v>333</v>
      </c>
      <c r="D66" s="53" t="s">
        <v>333</v>
      </c>
      <c r="E66" s="13" t="s">
        <v>342</v>
      </c>
      <c r="F66" s="13">
        <v>4</v>
      </c>
      <c r="G66" s="13">
        <v>3</v>
      </c>
      <c r="H66" s="13">
        <v>2</v>
      </c>
      <c r="I66" s="13">
        <v>3</v>
      </c>
      <c r="J66" s="13">
        <v>2</v>
      </c>
      <c r="K66" s="13">
        <v>2</v>
      </c>
      <c r="L66" s="13">
        <v>2</v>
      </c>
      <c r="M66" s="13">
        <v>50</v>
      </c>
      <c r="N66" s="13" t="s">
        <v>342</v>
      </c>
      <c r="O66" s="13" t="s">
        <v>342</v>
      </c>
      <c r="P66" s="13" t="s">
        <v>342</v>
      </c>
      <c r="Q66" s="53" t="s">
        <v>334</v>
      </c>
      <c r="R66" s="12" t="s">
        <v>101</v>
      </c>
      <c r="S66" s="13" t="s">
        <v>101</v>
      </c>
      <c r="T66" s="51" t="s">
        <v>101</v>
      </c>
      <c r="U66" s="51" t="s">
        <v>101</v>
      </c>
      <c r="V66" s="51">
        <v>497</v>
      </c>
      <c r="W66" s="50" t="s">
        <v>344</v>
      </c>
    </row>
    <row r="67" spans="1:25" ht="38.25">
      <c r="A67" s="52" t="s">
        <v>436</v>
      </c>
      <c r="B67" s="12">
        <v>646</v>
      </c>
      <c r="C67" s="53" t="s">
        <v>1</v>
      </c>
      <c r="D67" s="53" t="s">
        <v>1</v>
      </c>
      <c r="E67" s="13">
        <v>4</v>
      </c>
      <c r="F67" s="13">
        <v>4</v>
      </c>
      <c r="G67" s="13">
        <v>3</v>
      </c>
      <c r="H67" s="13">
        <v>3</v>
      </c>
      <c r="I67" s="13">
        <v>5</v>
      </c>
      <c r="J67" s="13">
        <v>3</v>
      </c>
      <c r="K67" s="13">
        <v>3</v>
      </c>
      <c r="L67" s="13">
        <v>4</v>
      </c>
      <c r="M67" s="13">
        <v>92</v>
      </c>
      <c r="N67" s="13">
        <v>50</v>
      </c>
      <c r="O67" s="13" t="s">
        <v>342</v>
      </c>
      <c r="P67" s="13" t="s">
        <v>342</v>
      </c>
      <c r="Q67" s="53" t="s">
        <v>334</v>
      </c>
      <c r="R67" s="12">
        <v>11208</v>
      </c>
      <c r="S67" s="13" t="s">
        <v>101</v>
      </c>
      <c r="T67" s="51" t="s">
        <v>101</v>
      </c>
      <c r="U67" s="51" t="s">
        <v>101</v>
      </c>
      <c r="V67" s="51" t="s">
        <v>101</v>
      </c>
      <c r="W67" s="50" t="s">
        <v>344</v>
      </c>
    </row>
    <row r="68" spans="1:25" ht="38.25">
      <c r="A68" s="52" t="s">
        <v>434</v>
      </c>
      <c r="B68" s="12">
        <v>841</v>
      </c>
      <c r="C68" s="53" t="s">
        <v>333</v>
      </c>
      <c r="D68" s="53" t="s">
        <v>435</v>
      </c>
      <c r="E68" s="13">
        <v>4</v>
      </c>
      <c r="F68" s="13">
        <v>3</v>
      </c>
      <c r="G68" s="13">
        <v>4</v>
      </c>
      <c r="H68" s="13">
        <v>4</v>
      </c>
      <c r="I68" s="13">
        <v>5</v>
      </c>
      <c r="J68" s="13">
        <v>4</v>
      </c>
      <c r="K68" s="13">
        <v>4</v>
      </c>
      <c r="L68" s="13">
        <v>4</v>
      </c>
      <c r="M68" s="13">
        <v>100</v>
      </c>
      <c r="N68" s="13">
        <v>100</v>
      </c>
      <c r="O68" s="13" t="s">
        <v>342</v>
      </c>
      <c r="P68" s="13" t="s">
        <v>342</v>
      </c>
      <c r="Q68" s="53" t="s">
        <v>334</v>
      </c>
      <c r="R68" s="12" t="s">
        <v>101</v>
      </c>
      <c r="S68" s="13" t="s">
        <v>101</v>
      </c>
      <c r="T68" s="51" t="s">
        <v>101</v>
      </c>
      <c r="U68" s="51" t="s">
        <v>101</v>
      </c>
      <c r="V68" s="51">
        <v>480</v>
      </c>
      <c r="W68" s="50" t="s">
        <v>344</v>
      </c>
    </row>
    <row r="69" spans="1:25" ht="51">
      <c r="A69" s="52" t="s">
        <v>359</v>
      </c>
      <c r="B69" s="12">
        <v>2645</v>
      </c>
      <c r="C69" s="53" t="s">
        <v>1</v>
      </c>
      <c r="D69" s="53" t="s">
        <v>130</v>
      </c>
      <c r="E69" s="13">
        <v>4</v>
      </c>
      <c r="F69" s="13">
        <v>2</v>
      </c>
      <c r="G69" s="13" t="s">
        <v>344</v>
      </c>
      <c r="H69" s="13">
        <v>3</v>
      </c>
      <c r="I69" s="13">
        <v>5</v>
      </c>
      <c r="J69" s="13">
        <v>5</v>
      </c>
      <c r="K69" s="13">
        <v>5</v>
      </c>
      <c r="L69" s="13">
        <v>4</v>
      </c>
      <c r="M69" s="13">
        <v>100</v>
      </c>
      <c r="N69" s="13">
        <v>100</v>
      </c>
      <c r="O69" s="13">
        <v>100</v>
      </c>
      <c r="P69" s="13">
        <v>100</v>
      </c>
      <c r="Q69" s="53" t="s">
        <v>360</v>
      </c>
      <c r="R69" s="12">
        <v>46747</v>
      </c>
      <c r="S69" s="51">
        <v>256343</v>
      </c>
      <c r="T69" s="51" t="s">
        <v>101</v>
      </c>
      <c r="U69" s="51" t="s">
        <v>101</v>
      </c>
      <c r="V69" s="51" t="s">
        <v>101</v>
      </c>
      <c r="W69" s="50" t="s">
        <v>344</v>
      </c>
    </row>
    <row r="70" spans="1:25" ht="39" thickBot="1">
      <c r="A70" s="45" t="s">
        <v>403</v>
      </c>
      <c r="B70" s="46">
        <v>2721.71</v>
      </c>
      <c r="C70" s="18" t="s">
        <v>524</v>
      </c>
      <c r="D70" s="18" t="s">
        <v>130</v>
      </c>
      <c r="E70" s="19">
        <v>4</v>
      </c>
      <c r="F70" s="19">
        <v>4</v>
      </c>
      <c r="G70" s="19">
        <v>4</v>
      </c>
      <c r="H70" s="19">
        <v>4</v>
      </c>
      <c r="I70" s="19">
        <v>4</v>
      </c>
      <c r="J70" s="19">
        <v>4</v>
      </c>
      <c r="K70" s="19">
        <v>4</v>
      </c>
      <c r="L70" s="19">
        <v>4</v>
      </c>
      <c r="M70" s="19">
        <v>100</v>
      </c>
      <c r="N70" s="19">
        <v>90</v>
      </c>
      <c r="O70" s="19">
        <v>100</v>
      </c>
      <c r="P70" s="19">
        <v>100</v>
      </c>
      <c r="Q70" s="18" t="s">
        <v>334</v>
      </c>
      <c r="R70" s="17">
        <v>53929</v>
      </c>
      <c r="S70" s="20">
        <v>11809</v>
      </c>
      <c r="T70" s="20">
        <v>35.200000000000003</v>
      </c>
      <c r="U70" s="20" t="s">
        <v>101</v>
      </c>
      <c r="V70" s="20" t="s">
        <v>101</v>
      </c>
      <c r="W70" s="21" t="s">
        <v>344</v>
      </c>
    </row>
    <row r="71" spans="1:25" ht="14.25" thickTop="1" thickBot="1">
      <c r="A71" s="47">
        <f>COUNTA(A4:A70)</f>
        <v>67</v>
      </c>
      <c r="B71" s="49">
        <f>SUM(B4:B70)</f>
        <v>131181.82499999998</v>
      </c>
      <c r="C71" s="22"/>
      <c r="D71" s="22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2"/>
      <c r="S71" s="25"/>
      <c r="T71" s="25"/>
      <c r="U71" s="25"/>
      <c r="V71" s="25"/>
      <c r="W71" s="23"/>
    </row>
    <row r="72" spans="1:25" ht="14.25" thickTop="1" thickBot="1">
      <c r="A72" s="48" t="s">
        <v>444</v>
      </c>
      <c r="B72" s="27"/>
      <c r="C72" s="26"/>
      <c r="D72" s="26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6"/>
      <c r="R72" s="27"/>
      <c r="S72" s="29"/>
      <c r="T72" s="29"/>
      <c r="U72" s="29"/>
      <c r="V72" s="29"/>
      <c r="W72" s="28"/>
      <c r="X72" s="28"/>
      <c r="Y72" s="28"/>
    </row>
    <row r="73" spans="1:25" ht="13.5" thickTop="1">
      <c r="A73" s="26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6"/>
      <c r="R73" s="27"/>
      <c r="S73" s="29"/>
      <c r="T73" s="29"/>
      <c r="U73" s="29"/>
      <c r="V73" s="29"/>
      <c r="W73" s="28"/>
      <c r="X73" s="28"/>
      <c r="Y73" s="28"/>
    </row>
    <row r="74" spans="1:25" ht="14.25" customHeight="1">
      <c r="A74" s="104"/>
      <c r="B74" s="371" t="s">
        <v>671</v>
      </c>
      <c r="C74" s="371"/>
      <c r="D74" s="371"/>
      <c r="E74" s="371"/>
      <c r="F74" s="371"/>
      <c r="G74" s="105"/>
      <c r="H74" s="105"/>
      <c r="I74" s="105"/>
      <c r="J74" s="104"/>
      <c r="K74" s="106"/>
      <c r="L74" s="105"/>
      <c r="M74" s="105"/>
      <c r="N74" s="105"/>
      <c r="O74" s="105"/>
      <c r="P74" s="105"/>
      <c r="Q74" s="104"/>
      <c r="R74" s="106"/>
      <c r="S74" s="107"/>
      <c r="T74" s="107"/>
      <c r="U74" s="107"/>
      <c r="V74" s="29"/>
      <c r="W74" s="28"/>
      <c r="X74" s="28"/>
      <c r="Y74" s="28"/>
    </row>
    <row r="75" spans="1:25" ht="12.75" customHeight="1">
      <c r="A75" s="108"/>
      <c r="B75" s="371"/>
      <c r="C75" s="371"/>
      <c r="D75" s="371"/>
      <c r="E75" s="371"/>
      <c r="F75" s="371"/>
      <c r="G75" s="105"/>
      <c r="H75" s="105"/>
      <c r="I75" s="105"/>
      <c r="J75" s="105"/>
      <c r="K75" s="105"/>
      <c r="L75" s="105"/>
      <c r="M75" s="105"/>
      <c r="N75" s="109"/>
      <c r="O75" s="109"/>
      <c r="P75" s="109"/>
      <c r="Q75" s="108"/>
      <c r="R75" s="110"/>
      <c r="S75" s="107"/>
      <c r="T75" s="107"/>
      <c r="U75" s="107"/>
      <c r="V75" s="29"/>
      <c r="W75" s="28"/>
      <c r="X75" s="28"/>
      <c r="Y75" s="28"/>
    </row>
    <row r="76" spans="1:25" ht="13.5" customHeight="1">
      <c r="A76" s="111"/>
      <c r="B76" s="112"/>
      <c r="C76" s="112"/>
      <c r="D76" s="112"/>
      <c r="E76" s="112"/>
      <c r="F76" s="113"/>
      <c r="G76" s="105"/>
      <c r="H76" s="105"/>
      <c r="I76" s="105"/>
      <c r="J76" s="105"/>
      <c r="K76" s="105"/>
      <c r="L76" s="105"/>
      <c r="M76" s="105"/>
      <c r="N76" s="109"/>
      <c r="O76" s="109"/>
      <c r="P76" s="109"/>
      <c r="Q76" s="108"/>
      <c r="R76" s="110"/>
      <c r="S76" s="107"/>
      <c r="T76" s="107"/>
      <c r="U76" s="107"/>
      <c r="V76" s="29"/>
      <c r="W76" s="28"/>
      <c r="X76" s="28"/>
      <c r="Y76" s="28"/>
    </row>
    <row r="77" spans="1:25">
      <c r="A77" s="104"/>
      <c r="B77" s="110"/>
      <c r="C77" s="114" t="s">
        <v>335</v>
      </c>
      <c r="D77" s="115" t="s">
        <v>420</v>
      </c>
      <c r="E77" s="115" t="s">
        <v>429</v>
      </c>
      <c r="F77" s="105"/>
      <c r="G77" s="105"/>
      <c r="H77" s="105"/>
      <c r="I77" s="105"/>
      <c r="J77" s="105"/>
      <c r="K77" s="105"/>
      <c r="L77" s="105"/>
      <c r="M77" s="105"/>
      <c r="N77" s="109"/>
      <c r="O77" s="109"/>
      <c r="P77" s="109"/>
      <c r="Q77" s="108"/>
      <c r="R77" s="110"/>
      <c r="S77" s="107"/>
      <c r="T77" s="107"/>
      <c r="U77" s="107"/>
      <c r="V77" s="29"/>
      <c r="W77" s="28"/>
      <c r="X77" s="28"/>
      <c r="Y77" s="28"/>
    </row>
    <row r="78" spans="1:25">
      <c r="A78" s="104"/>
      <c r="B78" s="110"/>
      <c r="C78" s="115" t="s">
        <v>1</v>
      </c>
      <c r="D78" s="115">
        <f>COUNTIF(C4:C70,"gaz")</f>
        <v>14</v>
      </c>
      <c r="E78" s="116">
        <f>D78/($D$78+$D$79+$D$80+$D$81+$D$82)*100</f>
        <v>23.333333333333332</v>
      </c>
      <c r="F78" s="105"/>
      <c r="G78" s="105"/>
      <c r="H78" s="105"/>
      <c r="I78" s="105"/>
      <c r="J78" s="105"/>
      <c r="K78" s="105"/>
      <c r="L78" s="105"/>
      <c r="M78" s="105"/>
      <c r="N78" s="109"/>
      <c r="O78" s="109"/>
      <c r="P78" s="109"/>
      <c r="Q78" s="108"/>
      <c r="R78" s="110"/>
      <c r="S78" s="107"/>
      <c r="T78" s="107"/>
      <c r="U78" s="107"/>
      <c r="V78" s="29"/>
      <c r="W78" s="28"/>
      <c r="X78" s="28"/>
      <c r="Y78" s="28"/>
    </row>
    <row r="79" spans="1:25">
      <c r="A79" s="108"/>
      <c r="B79" s="110"/>
      <c r="C79" s="114" t="s">
        <v>442</v>
      </c>
      <c r="D79" s="115">
        <f>COUNTIF(C4:C70,"węgiel kamienny")</f>
        <v>5</v>
      </c>
      <c r="E79" s="116">
        <f>D79/($D$78+$D$79+$D$80+$D$81+$D$82)*100</f>
        <v>8.3333333333333321</v>
      </c>
      <c r="F79" s="105"/>
      <c r="G79" s="109"/>
      <c r="H79" s="109"/>
      <c r="I79" s="109"/>
      <c r="J79" s="109"/>
      <c r="K79" s="109"/>
      <c r="L79" s="109"/>
      <c r="M79" s="109"/>
      <c r="N79" s="109"/>
      <c r="O79" s="109"/>
      <c r="P79" s="109"/>
      <c r="Q79" s="108"/>
      <c r="R79" s="110"/>
      <c r="S79" s="117"/>
      <c r="T79" s="117"/>
      <c r="U79" s="117"/>
    </row>
    <row r="80" spans="1:25">
      <c r="A80" s="108"/>
      <c r="B80" s="110"/>
      <c r="C80" s="114" t="s">
        <v>333</v>
      </c>
      <c r="D80" s="115">
        <f>COUNTIF(C4:C70,"ciepło sieciowe")</f>
        <v>31</v>
      </c>
      <c r="E80" s="116">
        <f>D80/($D$78+$D$79+$D$80+$D$81+$D$82)*100</f>
        <v>51.666666666666671</v>
      </c>
      <c r="F80" s="105"/>
      <c r="G80" s="109"/>
      <c r="H80" s="109"/>
      <c r="I80" s="109"/>
      <c r="J80" s="109"/>
      <c r="K80" s="109"/>
      <c r="L80" s="109"/>
      <c r="M80" s="109"/>
      <c r="N80" s="109"/>
      <c r="O80" s="109"/>
      <c r="P80" s="109"/>
      <c r="Q80" s="108"/>
      <c r="R80" s="110"/>
      <c r="S80" s="117"/>
      <c r="T80" s="117"/>
      <c r="U80" s="117"/>
    </row>
    <row r="81" spans="1:21">
      <c r="A81" s="108"/>
      <c r="B81" s="110"/>
      <c r="C81" s="114" t="s">
        <v>132</v>
      </c>
      <c r="D81" s="115">
        <f>COUNTIF(C4:C70,"olej opałowy")</f>
        <v>5</v>
      </c>
      <c r="E81" s="116">
        <f>D81/($D$78+$D$79+$D$80+$D$81+$D$82)*100</f>
        <v>8.3333333333333321</v>
      </c>
      <c r="F81" s="105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8"/>
      <c r="R81" s="110"/>
      <c r="S81" s="117"/>
      <c r="T81" s="117"/>
      <c r="U81" s="117"/>
    </row>
    <row r="82" spans="1:21">
      <c r="A82" s="108"/>
      <c r="B82" s="110"/>
      <c r="C82" s="114" t="s">
        <v>421</v>
      </c>
      <c r="D82" s="115">
        <f>COUNTIF(C4:C70,"energia elektryczna")</f>
        <v>5</v>
      </c>
      <c r="E82" s="116">
        <f>D82/($D$78+$D$79+$D$80+$D$81+$D$82)*100</f>
        <v>8.3333333333333321</v>
      </c>
      <c r="F82" s="105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8"/>
      <c r="R82" s="110"/>
      <c r="S82" s="117"/>
      <c r="T82" s="117"/>
      <c r="U82" s="117"/>
    </row>
    <row r="83" spans="1:21">
      <c r="A83" s="108"/>
      <c r="B83" s="110"/>
      <c r="C83" s="110"/>
      <c r="D83" s="108"/>
      <c r="E83" s="108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8"/>
      <c r="R83" s="110"/>
      <c r="S83" s="117"/>
      <c r="T83" s="117"/>
      <c r="U83" s="117"/>
    </row>
    <row r="84" spans="1:21" ht="25.5">
      <c r="A84" s="108"/>
      <c r="B84" s="110"/>
      <c r="C84" s="115" t="s">
        <v>455</v>
      </c>
      <c r="D84" s="116" t="s">
        <v>470</v>
      </c>
      <c r="E84" s="116" t="s">
        <v>695</v>
      </c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8"/>
      <c r="R84" s="110"/>
      <c r="S84" s="117"/>
      <c r="T84" s="117"/>
      <c r="U84" s="117"/>
    </row>
    <row r="85" spans="1:21">
      <c r="A85" s="108"/>
      <c r="B85" s="110"/>
      <c r="C85" s="115" t="s">
        <v>471</v>
      </c>
      <c r="D85" s="118">
        <f>F95/$F$100*100</f>
        <v>19.592688661904258</v>
      </c>
      <c r="E85" s="118">
        <f>E95/$E$100*100</f>
        <v>12.099308729033602</v>
      </c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8"/>
      <c r="R85" s="110"/>
      <c r="S85" s="117"/>
      <c r="T85" s="117"/>
      <c r="U85" s="117"/>
    </row>
    <row r="86" spans="1:21">
      <c r="A86" s="108"/>
      <c r="B86" s="110"/>
      <c r="C86" s="119" t="s">
        <v>362</v>
      </c>
      <c r="D86" s="118">
        <f>F96/$F$100*100</f>
        <v>38.762827454208676</v>
      </c>
      <c r="E86" s="118">
        <f>E96/$E$100*100</f>
        <v>53.381015593033851</v>
      </c>
      <c r="F86" s="109"/>
      <c r="G86" s="109"/>
      <c r="H86" s="109"/>
      <c r="I86" s="109"/>
      <c r="J86" s="109"/>
      <c r="K86" s="109"/>
      <c r="L86" s="109"/>
      <c r="M86" s="109"/>
      <c r="N86" s="109"/>
      <c r="O86" s="109"/>
      <c r="P86" s="109"/>
      <c r="Q86" s="108"/>
      <c r="R86" s="110"/>
      <c r="S86" s="117"/>
      <c r="T86" s="117"/>
      <c r="U86" s="117"/>
    </row>
    <row r="87" spans="1:21">
      <c r="A87" s="108"/>
      <c r="B87" s="110"/>
      <c r="C87" s="119" t="s">
        <v>514</v>
      </c>
      <c r="D87" s="118">
        <f>F97/$F$100*100</f>
        <v>4.8030362779026694</v>
      </c>
      <c r="E87" s="118">
        <f>E97/$E$100*100</f>
        <v>4.1599693107314168</v>
      </c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8"/>
      <c r="R87" s="110"/>
      <c r="S87" s="117"/>
      <c r="T87" s="117"/>
      <c r="U87" s="117"/>
    </row>
    <row r="88" spans="1:21">
      <c r="A88" s="108"/>
      <c r="B88" s="110"/>
      <c r="C88" s="119" t="s">
        <v>472</v>
      </c>
      <c r="D88" s="118">
        <f>F98/$F$100*100</f>
        <v>1.8160793704536271</v>
      </c>
      <c r="E88" s="118">
        <f>E98/$E$100*100</f>
        <v>1.8525606744492193</v>
      </c>
      <c r="F88" s="109"/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108"/>
      <c r="R88" s="110"/>
      <c r="S88" s="117"/>
      <c r="T88" s="117"/>
      <c r="U88" s="117"/>
    </row>
    <row r="89" spans="1:21" ht="13.5" thickBot="1">
      <c r="A89" s="108"/>
      <c r="B89" s="110"/>
      <c r="C89" s="119" t="s">
        <v>473</v>
      </c>
      <c r="D89" s="120">
        <f>F99/$F$100*100</f>
        <v>35.02536823553077</v>
      </c>
      <c r="E89" s="120">
        <f>E99/$E$100*100</f>
        <v>28.507145692751905</v>
      </c>
      <c r="F89" s="109"/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108"/>
      <c r="R89" s="110"/>
      <c r="S89" s="117"/>
      <c r="T89" s="117"/>
      <c r="U89" s="117"/>
    </row>
    <row r="90" spans="1:21" ht="16.5" customHeight="1" thickBot="1">
      <c r="A90" s="108"/>
      <c r="B90" s="109"/>
      <c r="C90" s="108"/>
      <c r="D90" s="121">
        <f>SUM(D85:D89)</f>
        <v>100</v>
      </c>
      <c r="E90" s="122">
        <f>SUM(E85:E89)</f>
        <v>99.999999999999986</v>
      </c>
      <c r="F90" s="109"/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108"/>
      <c r="R90" s="110"/>
      <c r="S90" s="117"/>
      <c r="T90" s="117"/>
      <c r="U90" s="117"/>
    </row>
    <row r="91" spans="1:21" ht="14.25" customHeight="1">
      <c r="A91" s="108"/>
      <c r="B91" s="106"/>
      <c r="C91" s="107"/>
      <c r="D91" s="106"/>
      <c r="E91" s="109"/>
      <c r="F91" s="109"/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108"/>
      <c r="R91" s="110"/>
      <c r="S91" s="117"/>
      <c r="T91" s="117"/>
      <c r="U91" s="117"/>
    </row>
    <row r="92" spans="1:21">
      <c r="A92" s="108"/>
      <c r="B92" s="106"/>
      <c r="C92" s="107"/>
      <c r="D92" s="106"/>
      <c r="E92" s="109"/>
      <c r="F92" s="109"/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108"/>
      <c r="R92" s="110"/>
      <c r="S92" s="117"/>
      <c r="T92" s="117"/>
      <c r="U92" s="117"/>
    </row>
    <row r="93" spans="1:21" ht="13.5" customHeight="1">
      <c r="A93" s="108"/>
      <c r="B93" s="110"/>
      <c r="C93" s="123"/>
      <c r="D93" s="123"/>
      <c r="E93" s="109"/>
      <c r="F93" s="109"/>
      <c r="G93" s="109"/>
      <c r="H93" s="109"/>
      <c r="I93" s="318" t="s">
        <v>652</v>
      </c>
      <c r="J93" s="318"/>
      <c r="K93" s="109"/>
      <c r="L93" s="318" t="s">
        <v>653</v>
      </c>
      <c r="M93" s="318"/>
      <c r="N93" s="109"/>
      <c r="O93" s="109"/>
      <c r="P93" s="109"/>
      <c r="Q93" s="108"/>
      <c r="R93" s="110"/>
      <c r="S93" s="117"/>
      <c r="T93" s="117"/>
      <c r="U93" s="117"/>
    </row>
    <row r="94" spans="1:21" ht="40.5" customHeight="1">
      <c r="A94" s="108"/>
      <c r="B94" s="119" t="s">
        <v>455</v>
      </c>
      <c r="C94" s="119" t="s">
        <v>227</v>
      </c>
      <c r="D94" s="115" t="s">
        <v>458</v>
      </c>
      <c r="E94" s="115" t="s">
        <v>689</v>
      </c>
      <c r="F94" s="116" t="s">
        <v>452</v>
      </c>
      <c r="G94" s="109"/>
      <c r="H94" s="109"/>
      <c r="I94" s="318"/>
      <c r="J94" s="318"/>
      <c r="K94" s="109"/>
      <c r="L94" s="318"/>
      <c r="M94" s="318"/>
      <c r="N94" s="109"/>
      <c r="O94" s="109"/>
      <c r="P94" s="109"/>
      <c r="Q94" s="108"/>
      <c r="R94" s="110"/>
      <c r="S94" s="117"/>
      <c r="T94" s="117"/>
      <c r="U94" s="117"/>
    </row>
    <row r="95" spans="1:21" ht="15.75">
      <c r="A95" s="108"/>
      <c r="B95" s="115" t="s">
        <v>471</v>
      </c>
      <c r="C95" s="124">
        <f>SUM(R4:R70)</f>
        <v>5027700.3499999996</v>
      </c>
      <c r="D95" s="115" t="s">
        <v>422</v>
      </c>
      <c r="E95" s="124">
        <f>C95/1000</f>
        <v>5027.7003500000001</v>
      </c>
      <c r="F95" s="114">
        <f>E95*'Emisje - sektor mieszkalny'!$H$4</f>
        <v>2242.3543561000001</v>
      </c>
      <c r="G95" s="109"/>
      <c r="H95" s="109"/>
      <c r="I95" s="73">
        <v>4.92</v>
      </c>
      <c r="J95" s="72" t="s">
        <v>130</v>
      </c>
      <c r="K95" s="109"/>
      <c r="L95" s="73">
        <v>0</v>
      </c>
      <c r="M95" s="72" t="s">
        <v>130</v>
      </c>
      <c r="N95" s="109"/>
      <c r="O95" s="109"/>
      <c r="P95" s="109"/>
      <c r="Q95" s="108"/>
      <c r="R95" s="110"/>
      <c r="S95" s="117"/>
      <c r="T95" s="117"/>
      <c r="U95" s="117"/>
    </row>
    <row r="96" spans="1:21" ht="15.75">
      <c r="A96" s="108"/>
      <c r="B96" s="119" t="s">
        <v>1</v>
      </c>
      <c r="C96" s="124">
        <f>SUM(S4:S70)</f>
        <v>2221877.38</v>
      </c>
      <c r="D96" s="115" t="s">
        <v>221</v>
      </c>
      <c r="E96" s="124">
        <f>C96*'Emisje - sektor mieszkalny'!$F$5/3600</f>
        <v>22181.74251033333</v>
      </c>
      <c r="F96" s="114">
        <f>E96*'Emisje - sektor mieszkalny'!$H$5</f>
        <v>4436.3485020666658</v>
      </c>
      <c r="G96" s="109"/>
      <c r="H96" s="109"/>
      <c r="I96" s="73">
        <v>0.42</v>
      </c>
      <c r="J96" s="72" t="s">
        <v>462</v>
      </c>
      <c r="K96" s="109"/>
      <c r="L96" s="102">
        <v>5.0000000000000001E-4</v>
      </c>
      <c r="M96" s="72" t="s">
        <v>462</v>
      </c>
      <c r="N96" s="109"/>
      <c r="O96" s="109"/>
      <c r="P96" s="109"/>
      <c r="Q96" s="108"/>
      <c r="R96" s="110"/>
      <c r="S96" s="117"/>
      <c r="T96" s="117"/>
      <c r="U96" s="117"/>
    </row>
    <row r="97" spans="1:23" ht="15.75">
      <c r="A97" s="108"/>
      <c r="B97" s="119" t="s">
        <v>442</v>
      </c>
      <c r="C97" s="124">
        <f>SUM(T4:T70)</f>
        <v>274.99</v>
      </c>
      <c r="D97" s="115" t="s">
        <v>223</v>
      </c>
      <c r="E97" s="124">
        <f>C97*'Emisje - sektor mieszkalny'!$F$7/3.6</f>
        <v>1728.6176944444444</v>
      </c>
      <c r="F97" s="114">
        <f>E97*'Emisje - sektor mieszkalny'!$H$7</f>
        <v>549.70042683333338</v>
      </c>
      <c r="G97" s="109"/>
      <c r="H97" s="109"/>
      <c r="I97" s="73">
        <v>3.26</v>
      </c>
      <c r="J97" s="72" t="s">
        <v>132</v>
      </c>
      <c r="K97" s="109"/>
      <c r="L97" s="103">
        <v>0.31113760000000001</v>
      </c>
      <c r="M97" s="72" t="s">
        <v>132</v>
      </c>
      <c r="N97" s="109"/>
      <c r="O97" s="109"/>
      <c r="P97" s="109"/>
      <c r="Q97" s="108"/>
      <c r="R97" s="110"/>
      <c r="S97" s="117"/>
      <c r="T97" s="117"/>
      <c r="U97" s="117"/>
    </row>
    <row r="98" spans="1:23" ht="15.75">
      <c r="A98" s="108"/>
      <c r="B98" s="119" t="s">
        <v>132</v>
      </c>
      <c r="C98" s="124">
        <f>SUM(U4:U70)</f>
        <v>68955</v>
      </c>
      <c r="D98" s="115" t="s">
        <v>222</v>
      </c>
      <c r="E98" s="124">
        <f>C98*'Emisje - sektor mieszkalny'!$F$6/3600</f>
        <v>769.80595833333325</v>
      </c>
      <c r="F98" s="114">
        <f>E98*'Emisje - sektor mieszkalny'!$H$6</f>
        <v>207.84760874999998</v>
      </c>
      <c r="G98" s="109"/>
      <c r="H98" s="109"/>
      <c r="I98" s="73">
        <v>3.56</v>
      </c>
      <c r="J98" s="72" t="s">
        <v>442</v>
      </c>
      <c r="K98" s="109"/>
      <c r="L98" s="73">
        <v>14</v>
      </c>
      <c r="M98" s="72" t="s">
        <v>442</v>
      </c>
      <c r="N98" s="109"/>
      <c r="O98" s="109"/>
      <c r="P98" s="109"/>
      <c r="Q98" s="108"/>
      <c r="R98" s="110"/>
      <c r="S98" s="117"/>
      <c r="T98" s="117"/>
      <c r="U98" s="117"/>
    </row>
    <row r="99" spans="1:23" ht="16.5" thickBot="1">
      <c r="A99" s="108"/>
      <c r="B99" s="119" t="s">
        <v>333</v>
      </c>
      <c r="C99" s="124">
        <f>SUM(V4:V70)</f>
        <v>42644.7</v>
      </c>
      <c r="D99" s="115" t="s">
        <v>423</v>
      </c>
      <c r="E99" s="125">
        <f>C99/3.6</f>
        <v>11845.749999999998</v>
      </c>
      <c r="F99" s="126">
        <f>C99*0.094</f>
        <v>4008.6017999999999</v>
      </c>
      <c r="G99" s="109"/>
      <c r="H99" s="109"/>
      <c r="I99" s="73">
        <v>2.83</v>
      </c>
      <c r="J99" s="72" t="s">
        <v>466</v>
      </c>
      <c r="K99" s="109"/>
      <c r="L99" s="73">
        <v>0</v>
      </c>
      <c r="M99" s="72" t="s">
        <v>466</v>
      </c>
      <c r="N99" s="109"/>
      <c r="O99" s="109"/>
      <c r="P99" s="109"/>
      <c r="Q99" s="108"/>
      <c r="R99" s="110"/>
      <c r="S99" s="117"/>
      <c r="T99" s="117"/>
      <c r="U99" s="117"/>
    </row>
    <row r="100" spans="1:23" ht="16.5" thickBot="1">
      <c r="A100" s="108"/>
      <c r="B100" s="109"/>
      <c r="C100" s="109"/>
      <c r="D100" s="108"/>
      <c r="E100" s="127">
        <f>SUM(E95:E99)</f>
        <v>41553.616513111105</v>
      </c>
      <c r="F100" s="128">
        <f>SUM(F95:F99)</f>
        <v>11444.852693749999</v>
      </c>
      <c r="G100" s="109"/>
      <c r="H100" s="109"/>
      <c r="I100" s="73">
        <v>3.56</v>
      </c>
      <c r="J100" s="72" t="s">
        <v>454</v>
      </c>
      <c r="K100" s="109"/>
      <c r="L100" s="73">
        <v>14</v>
      </c>
      <c r="M100" s="72" t="s">
        <v>454</v>
      </c>
      <c r="N100" s="109"/>
      <c r="O100" s="109"/>
      <c r="P100" s="109"/>
      <c r="Q100" s="108"/>
      <c r="R100" s="110"/>
      <c r="S100" s="117"/>
      <c r="T100" s="117"/>
      <c r="U100" s="117"/>
    </row>
    <row r="101" spans="1:23" ht="106.5" customHeight="1">
      <c r="A101" s="108"/>
      <c r="B101" s="110"/>
      <c r="C101" s="108"/>
      <c r="D101" s="108"/>
      <c r="E101" s="109"/>
      <c r="F101" s="109"/>
      <c r="G101" s="109"/>
      <c r="H101" s="109"/>
      <c r="I101" s="73">
        <v>1.64</v>
      </c>
      <c r="J101" s="76" t="s">
        <v>576</v>
      </c>
      <c r="K101" s="109"/>
      <c r="L101" s="102">
        <v>5.0000000000000001E-4</v>
      </c>
      <c r="M101" s="76" t="s">
        <v>576</v>
      </c>
      <c r="N101" s="109"/>
      <c r="O101" s="109"/>
      <c r="P101" s="109"/>
      <c r="Q101" s="108"/>
      <c r="R101" s="110"/>
      <c r="S101" s="117"/>
      <c r="T101" s="117"/>
      <c r="U101" s="117"/>
    </row>
    <row r="102" spans="1:23" ht="87" customHeight="1">
      <c r="A102" s="108"/>
      <c r="B102" s="110"/>
      <c r="C102" s="108"/>
      <c r="D102" s="108"/>
      <c r="E102" s="109"/>
      <c r="F102" s="109"/>
      <c r="G102" s="109"/>
      <c r="H102" s="109"/>
      <c r="I102" s="73">
        <v>1.64</v>
      </c>
      <c r="J102" s="76" t="s">
        <v>552</v>
      </c>
      <c r="K102" s="109"/>
      <c r="L102" s="102">
        <v>5.0000000000000001E-4</v>
      </c>
      <c r="M102" s="76" t="s">
        <v>552</v>
      </c>
      <c r="N102" s="109"/>
      <c r="O102" s="109"/>
      <c r="P102" s="109"/>
      <c r="Q102" s="108"/>
      <c r="R102" s="110"/>
      <c r="S102" s="117"/>
      <c r="T102" s="117"/>
      <c r="U102" s="117"/>
    </row>
    <row r="103" spans="1:23">
      <c r="A103" s="108"/>
      <c r="B103" s="110"/>
      <c r="C103" s="108"/>
      <c r="D103" s="108"/>
      <c r="E103" s="109"/>
      <c r="F103" s="109"/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108"/>
      <c r="R103" s="110"/>
      <c r="S103" s="117"/>
      <c r="T103" s="117"/>
      <c r="U103" s="117"/>
    </row>
    <row r="104" spans="1:23" ht="12.75" customHeight="1">
      <c r="A104" s="365" t="s">
        <v>649</v>
      </c>
      <c r="B104" s="366"/>
      <c r="C104" s="366"/>
      <c r="D104" s="366"/>
      <c r="E104" s="366"/>
      <c r="F104" s="367"/>
      <c r="G104" s="109"/>
      <c r="H104" s="109"/>
      <c r="I104" s="365" t="s">
        <v>650</v>
      </c>
      <c r="J104" s="366"/>
      <c r="K104" s="366"/>
      <c r="L104" s="366"/>
      <c r="M104" s="366"/>
      <c r="N104" s="367"/>
      <c r="O104" s="109"/>
      <c r="P104" s="365" t="s">
        <v>651</v>
      </c>
      <c r="Q104" s="366"/>
      <c r="R104" s="366"/>
      <c r="S104" s="366"/>
      <c r="T104" s="366"/>
      <c r="U104" s="367"/>
      <c r="V104" s="66"/>
      <c r="W104" s="61"/>
    </row>
    <row r="105" spans="1:23">
      <c r="A105" s="368"/>
      <c r="B105" s="369"/>
      <c r="C105" s="369"/>
      <c r="D105" s="369"/>
      <c r="E105" s="369"/>
      <c r="F105" s="370"/>
      <c r="G105" s="109"/>
      <c r="H105" s="109"/>
      <c r="I105" s="368"/>
      <c r="J105" s="369"/>
      <c r="K105" s="369"/>
      <c r="L105" s="369"/>
      <c r="M105" s="369"/>
      <c r="N105" s="370"/>
      <c r="O105" s="109"/>
      <c r="P105" s="368"/>
      <c r="Q105" s="369"/>
      <c r="R105" s="369"/>
      <c r="S105" s="369"/>
      <c r="T105" s="369"/>
      <c r="U105" s="370"/>
      <c r="V105" s="66"/>
      <c r="W105" s="61"/>
    </row>
    <row r="106" spans="1:23">
      <c r="A106" s="364"/>
      <c r="B106" s="364"/>
      <c r="C106" s="364"/>
      <c r="D106" s="364"/>
      <c r="E106" s="364"/>
      <c r="F106" s="364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108"/>
      <c r="R106" s="110"/>
      <c r="S106" s="117"/>
      <c r="T106" s="117"/>
      <c r="U106" s="117"/>
      <c r="V106" s="66"/>
      <c r="W106" s="61"/>
    </row>
    <row r="107" spans="1:23" ht="25.5">
      <c r="A107" s="92"/>
      <c r="B107" s="115" t="s">
        <v>455</v>
      </c>
      <c r="C107" s="116" t="s">
        <v>470</v>
      </c>
      <c r="D107" s="116" t="s">
        <v>695</v>
      </c>
      <c r="E107" s="92"/>
      <c r="F107" s="92"/>
      <c r="G107" s="92"/>
      <c r="H107" s="109"/>
      <c r="I107" s="92"/>
      <c r="J107" s="115" t="s">
        <v>455</v>
      </c>
      <c r="K107" s="116" t="s">
        <v>470</v>
      </c>
      <c r="L107" s="116" t="s">
        <v>695</v>
      </c>
      <c r="M107" s="92"/>
      <c r="N107" s="92"/>
      <c r="O107" s="109"/>
      <c r="P107" s="92"/>
      <c r="Q107" s="115" t="s">
        <v>455</v>
      </c>
      <c r="R107" s="116" t="s">
        <v>470</v>
      </c>
      <c r="S107" s="116" t="s">
        <v>695</v>
      </c>
      <c r="T107" s="92"/>
      <c r="U107" s="92"/>
      <c r="V107" s="66"/>
      <c r="W107" s="61"/>
    </row>
    <row r="108" spans="1:23" ht="14.25">
      <c r="A108" s="92"/>
      <c r="B108" s="115" t="s">
        <v>471</v>
      </c>
      <c r="C108" s="118">
        <f>F118/$F$123*100</f>
        <v>18.75835261901992</v>
      </c>
      <c r="D108" s="118">
        <f>E118/$E$123*100</f>
        <v>11.565239185055297</v>
      </c>
      <c r="E108" s="92"/>
      <c r="F108" s="92"/>
      <c r="G108" s="92"/>
      <c r="H108" s="109"/>
      <c r="I108" s="92"/>
      <c r="J108" s="115" t="s">
        <v>471</v>
      </c>
      <c r="K108" s="118">
        <f>N118/$N$123*100</f>
        <v>18.229944004522299</v>
      </c>
      <c r="L108" s="118">
        <f>M118/$M$123*100</f>
        <v>11.191556964409797</v>
      </c>
      <c r="M108" s="92"/>
      <c r="N108" s="92"/>
      <c r="O108" s="109"/>
      <c r="P108" s="92"/>
      <c r="Q108" s="115" t="s">
        <v>471</v>
      </c>
      <c r="R108" s="118">
        <f>U118/$U$123*100</f>
        <v>17.730489516691641</v>
      </c>
      <c r="S108" s="118">
        <f>T118/$T$123*100</f>
        <v>10.841266873971284</v>
      </c>
      <c r="T108" s="92"/>
      <c r="U108" s="92"/>
      <c r="V108" s="66"/>
      <c r="W108" s="61"/>
    </row>
    <row r="109" spans="1:23" ht="14.25">
      <c r="A109" s="92"/>
      <c r="B109" s="119" t="s">
        <v>362</v>
      </c>
      <c r="C109" s="118">
        <f t="shared" ref="C109:C112" si="0">F119/$F$123*100</f>
        <v>38.967756716085226</v>
      </c>
      <c r="D109" s="118">
        <f t="shared" ref="D109:D112" si="1">E119/$E$123*100</f>
        <v>53.57598838542151</v>
      </c>
      <c r="E109" s="92"/>
      <c r="F109" s="92"/>
      <c r="G109" s="92"/>
      <c r="H109" s="109"/>
      <c r="I109" s="92"/>
      <c r="J109" s="119" t="s">
        <v>362</v>
      </c>
      <c r="K109" s="118">
        <f t="shared" ref="K109:K112" si="2">N119/$N$123*100</f>
        <v>39.673400866788135</v>
      </c>
      <c r="L109" s="118">
        <f t="shared" ref="L109:L112" si="3">M119/$M$123*100</f>
        <v>54.313709917436206</v>
      </c>
      <c r="M109" s="92"/>
      <c r="N109" s="92"/>
      <c r="O109" s="109"/>
      <c r="P109" s="92"/>
      <c r="Q109" s="119" t="s">
        <v>362</v>
      </c>
      <c r="R109" s="118">
        <f t="shared" ref="R109:R112" si="4">U119/$U$123*100</f>
        <v>40.340379277454481</v>
      </c>
      <c r="S109" s="118">
        <f t="shared" ref="S109:S112" si="5">T119/$T$123*100</f>
        <v>55.005250825434118</v>
      </c>
      <c r="T109" s="92"/>
      <c r="U109" s="92"/>
      <c r="V109" s="66"/>
      <c r="W109" s="61"/>
    </row>
    <row r="110" spans="1:23" ht="14.25">
      <c r="A110" s="92"/>
      <c r="B110" s="119" t="s">
        <v>514</v>
      </c>
      <c r="C110" s="118">
        <f t="shared" si="0"/>
        <v>3.9087280078268503</v>
      </c>
      <c r="D110" s="118">
        <f t="shared" si="1"/>
        <v>3.3798942555125646</v>
      </c>
      <c r="E110" s="92"/>
      <c r="F110" s="92"/>
      <c r="G110" s="92"/>
      <c r="H110" s="109"/>
      <c r="I110" s="92"/>
      <c r="J110" s="119" t="s">
        <v>514</v>
      </c>
      <c r="K110" s="118">
        <f t="shared" si="2"/>
        <v>3.3517253773382127</v>
      </c>
      <c r="L110" s="118">
        <f t="shared" si="3"/>
        <v>2.8859004192237312</v>
      </c>
      <c r="M110" s="92"/>
      <c r="N110" s="92"/>
      <c r="O110" s="109"/>
      <c r="P110" s="92"/>
      <c r="Q110" s="119" t="s">
        <v>514</v>
      </c>
      <c r="R110" s="118">
        <f t="shared" si="4"/>
        <v>2.825243681358427</v>
      </c>
      <c r="S110" s="118">
        <f t="shared" si="5"/>
        <v>2.4228300989639848</v>
      </c>
      <c r="T110" s="92"/>
      <c r="U110" s="92"/>
      <c r="V110" s="66"/>
      <c r="W110" s="61"/>
    </row>
    <row r="111" spans="1:23" ht="14.25">
      <c r="A111" s="92"/>
      <c r="B111" s="119" t="s">
        <v>472</v>
      </c>
      <c r="C111" s="118">
        <f t="shared" si="0"/>
        <v>1.4779318516470503</v>
      </c>
      <c r="D111" s="118">
        <f t="shared" si="1"/>
        <v>1.5051695610846925</v>
      </c>
      <c r="E111" s="92"/>
      <c r="F111" s="92"/>
      <c r="G111" s="92"/>
      <c r="H111" s="109"/>
      <c r="I111" s="92"/>
      <c r="J111" s="119" t="s">
        <v>472</v>
      </c>
      <c r="K111" s="118">
        <f t="shared" si="2"/>
        <v>1.2673232016202516</v>
      </c>
      <c r="L111" s="118">
        <f t="shared" si="3"/>
        <v>1.2851791029416026</v>
      </c>
      <c r="M111" s="92"/>
      <c r="N111" s="92"/>
      <c r="O111" s="109"/>
      <c r="P111" s="92"/>
      <c r="Q111" s="119" t="s">
        <v>472</v>
      </c>
      <c r="R111" s="118">
        <f t="shared" si="4"/>
        <v>1.0682548432592693</v>
      </c>
      <c r="S111" s="118">
        <f t="shared" si="5"/>
        <v>1.0789598256491508</v>
      </c>
      <c r="T111" s="92"/>
      <c r="U111" s="92"/>
      <c r="V111" s="66"/>
      <c r="W111" s="61"/>
    </row>
    <row r="112" spans="1:23" ht="15" thickBot="1">
      <c r="A112" s="92"/>
      <c r="B112" s="119" t="s">
        <v>473</v>
      </c>
      <c r="C112" s="120">
        <f t="shared" si="0"/>
        <v>36.887230805420948</v>
      </c>
      <c r="D112" s="120">
        <f t="shared" si="1"/>
        <v>29.973708612925925</v>
      </c>
      <c r="E112" s="92"/>
      <c r="F112" s="92"/>
      <c r="G112" s="92"/>
      <c r="H112" s="109"/>
      <c r="I112" s="92"/>
      <c r="J112" s="119" t="s">
        <v>473</v>
      </c>
      <c r="K112" s="120">
        <f t="shared" si="2"/>
        <v>37.477606549731092</v>
      </c>
      <c r="L112" s="120">
        <f t="shared" si="3"/>
        <v>30.323653595988663</v>
      </c>
      <c r="M112" s="92"/>
      <c r="N112" s="92"/>
      <c r="O112" s="109"/>
      <c r="P112" s="92"/>
      <c r="Q112" s="119" t="s">
        <v>473</v>
      </c>
      <c r="R112" s="120">
        <f t="shared" si="4"/>
        <v>38.03563268123618</v>
      </c>
      <c r="S112" s="120">
        <f t="shared" si="5"/>
        <v>30.651692375981472</v>
      </c>
      <c r="T112" s="92"/>
      <c r="U112" s="92"/>
      <c r="V112" s="66"/>
      <c r="W112" s="61"/>
    </row>
    <row r="113" spans="1:23" ht="15" thickBot="1">
      <c r="A113" s="109"/>
      <c r="B113" s="92"/>
      <c r="C113" s="121">
        <f>SUM(C108:C112)</f>
        <v>100</v>
      </c>
      <c r="D113" s="122">
        <f>SUM(D108:D112)</f>
        <v>100</v>
      </c>
      <c r="E113" s="92"/>
      <c r="F113" s="92"/>
      <c r="G113" s="92"/>
      <c r="H113" s="109"/>
      <c r="I113" s="109"/>
      <c r="J113" s="92"/>
      <c r="K113" s="121">
        <f>SUM(K108:K112)</f>
        <v>100</v>
      </c>
      <c r="L113" s="122">
        <f>SUM(L108:L112)</f>
        <v>99.999999999999986</v>
      </c>
      <c r="M113" s="92"/>
      <c r="N113" s="92"/>
      <c r="O113" s="109"/>
      <c r="P113" s="109"/>
      <c r="Q113" s="92"/>
      <c r="R113" s="121">
        <f>SUM(R108:R112)</f>
        <v>100</v>
      </c>
      <c r="S113" s="122">
        <f>SUM(S108:S112)</f>
        <v>100</v>
      </c>
      <c r="T113" s="92"/>
      <c r="U113" s="92"/>
      <c r="V113" s="66"/>
      <c r="W113" s="61"/>
    </row>
    <row r="114" spans="1:23" ht="14.25">
      <c r="A114" s="106"/>
      <c r="B114" s="107"/>
      <c r="C114" s="106"/>
      <c r="D114" s="92"/>
      <c r="E114" s="92"/>
      <c r="F114" s="92"/>
      <c r="G114" s="92"/>
      <c r="H114" s="109"/>
      <c r="I114" s="106"/>
      <c r="J114" s="107"/>
      <c r="K114" s="106"/>
      <c r="L114" s="92"/>
      <c r="M114" s="92"/>
      <c r="N114" s="92"/>
      <c r="O114" s="109"/>
      <c r="P114" s="106"/>
      <c r="Q114" s="107"/>
      <c r="R114" s="106"/>
      <c r="S114" s="92"/>
      <c r="T114" s="92"/>
      <c r="U114" s="92"/>
      <c r="V114" s="66"/>
      <c r="W114" s="61"/>
    </row>
    <row r="115" spans="1:23" ht="14.25">
      <c r="A115" s="106"/>
      <c r="B115" s="107"/>
      <c r="C115" s="106"/>
      <c r="D115" s="92"/>
      <c r="E115" s="92"/>
      <c r="F115" s="92"/>
      <c r="G115" s="92"/>
      <c r="H115" s="109"/>
      <c r="I115" s="106"/>
      <c r="J115" s="107"/>
      <c r="K115" s="106"/>
      <c r="L115" s="92"/>
      <c r="M115" s="92"/>
      <c r="N115" s="92"/>
      <c r="O115" s="109"/>
      <c r="P115" s="106"/>
      <c r="Q115" s="107"/>
      <c r="R115" s="106"/>
      <c r="S115" s="92"/>
      <c r="T115" s="92"/>
      <c r="U115" s="92"/>
      <c r="V115" s="66"/>
      <c r="W115" s="61"/>
    </row>
    <row r="116" spans="1:23" ht="14.25">
      <c r="A116" s="92"/>
      <c r="B116" s="123"/>
      <c r="C116" s="123"/>
      <c r="D116" s="92"/>
      <c r="E116" s="92"/>
      <c r="F116" s="92"/>
      <c r="G116" s="92"/>
      <c r="H116" s="109"/>
      <c r="I116" s="92"/>
      <c r="J116" s="123"/>
      <c r="K116" s="123"/>
      <c r="L116" s="92"/>
      <c r="M116" s="92"/>
      <c r="N116" s="92"/>
      <c r="O116" s="109"/>
      <c r="P116" s="92"/>
      <c r="Q116" s="123"/>
      <c r="R116" s="123"/>
      <c r="S116" s="92"/>
      <c r="T116" s="92"/>
      <c r="U116" s="92"/>
      <c r="V116" s="66"/>
      <c r="W116" s="61"/>
    </row>
    <row r="117" spans="1:23" ht="65.25" customHeight="1">
      <c r="A117" s="119" t="s">
        <v>455</v>
      </c>
      <c r="B117" s="119" t="s">
        <v>227</v>
      </c>
      <c r="C117" s="116" t="s">
        <v>586</v>
      </c>
      <c r="D117" s="115" t="s">
        <v>458</v>
      </c>
      <c r="E117" s="115" t="s">
        <v>689</v>
      </c>
      <c r="F117" s="116" t="s">
        <v>452</v>
      </c>
      <c r="G117" s="92"/>
      <c r="H117" s="109"/>
      <c r="I117" s="119" t="s">
        <v>455</v>
      </c>
      <c r="J117" s="119" t="s">
        <v>227</v>
      </c>
      <c r="K117" s="116" t="s">
        <v>594</v>
      </c>
      <c r="L117" s="115" t="s">
        <v>458</v>
      </c>
      <c r="M117" s="115" t="s">
        <v>689</v>
      </c>
      <c r="N117" s="116" t="s">
        <v>452</v>
      </c>
      <c r="O117" s="109"/>
      <c r="P117" s="119" t="s">
        <v>455</v>
      </c>
      <c r="Q117" s="119" t="s">
        <v>227</v>
      </c>
      <c r="R117" s="116" t="s">
        <v>596</v>
      </c>
      <c r="S117" s="115" t="s">
        <v>458</v>
      </c>
      <c r="T117" s="115" t="s">
        <v>689</v>
      </c>
      <c r="U117" s="116" t="s">
        <v>452</v>
      </c>
      <c r="V117" s="66"/>
      <c r="W117" s="61"/>
    </row>
    <row r="118" spans="1:23" ht="25.5">
      <c r="A118" s="115" t="s">
        <v>471</v>
      </c>
      <c r="B118" s="124">
        <v>5027700.3499999996</v>
      </c>
      <c r="C118" s="116">
        <v>4927649.1130349999</v>
      </c>
      <c r="D118" s="115" t="s">
        <v>422</v>
      </c>
      <c r="E118" s="124">
        <f>C118/1000</f>
        <v>4927.6491130349996</v>
      </c>
      <c r="F118" s="114">
        <f>E118*'Emisje - sektor mieszkalny'!$H$4</f>
        <v>2197.7315044136099</v>
      </c>
      <c r="G118" s="92"/>
      <c r="H118" s="109"/>
      <c r="I118" s="115" t="s">
        <v>471</v>
      </c>
      <c r="J118" s="124">
        <v>5027700.3499999996</v>
      </c>
      <c r="K118" s="116">
        <v>4680789.0258499989</v>
      </c>
      <c r="L118" s="115" t="s">
        <v>422</v>
      </c>
      <c r="M118" s="124">
        <f>K118/1000</f>
        <v>4680.7890258499992</v>
      </c>
      <c r="N118" s="114">
        <f>M118*'Emisje - sektor mieszkalny'!$H$4</f>
        <v>2087.6319055290996</v>
      </c>
      <c r="O118" s="109"/>
      <c r="P118" s="115" t="s">
        <v>471</v>
      </c>
      <c r="Q118" s="124">
        <v>5027700.3499999996</v>
      </c>
      <c r="R118" s="116">
        <v>4298683.7992500002</v>
      </c>
      <c r="S118" s="115" t="s">
        <v>422</v>
      </c>
      <c r="T118" s="124">
        <f>R118/1000</f>
        <v>4298.6837992500004</v>
      </c>
      <c r="U118" s="114">
        <f>T118*'Emisje - sektor mieszkalny'!$H$4</f>
        <v>1917.2129744655003</v>
      </c>
      <c r="V118" s="66"/>
      <c r="W118" s="61"/>
    </row>
    <row r="119" spans="1:23" ht="14.25">
      <c r="A119" s="119" t="s">
        <v>1</v>
      </c>
      <c r="B119" s="124">
        <v>2221877.38</v>
      </c>
      <c r="C119" s="124">
        <v>2286545.1211449001</v>
      </c>
      <c r="D119" s="115" t="s">
        <v>221</v>
      </c>
      <c r="E119" s="124">
        <f>C119*'Emisje - sektor mieszkalny'!$F$5/3600</f>
        <v>22827.342126096588</v>
      </c>
      <c r="F119" s="114">
        <f>E119*'Emisje - sektor mieszkalny'!$H$5</f>
        <v>4565.4684252193174</v>
      </c>
      <c r="G119" s="92"/>
      <c r="H119" s="109"/>
      <c r="I119" s="119" t="s">
        <v>1</v>
      </c>
      <c r="J119" s="124">
        <v>2221877.38</v>
      </c>
      <c r="K119" s="124">
        <v>2275424.6248579999</v>
      </c>
      <c r="L119" s="115" t="s">
        <v>221</v>
      </c>
      <c r="M119" s="124">
        <f>K119*'Emisje - sektor mieszkalny'!$F$5/3600</f>
        <v>22716.322504832362</v>
      </c>
      <c r="N119" s="114">
        <f>M119*'Emisje - sektor mieszkalny'!$H$5</f>
        <v>4543.264500966473</v>
      </c>
      <c r="O119" s="109"/>
      <c r="P119" s="119" t="s">
        <v>1</v>
      </c>
      <c r="Q119" s="124">
        <v>2221877.38</v>
      </c>
      <c r="R119" s="124">
        <v>2184660.9338849997</v>
      </c>
      <c r="S119" s="115" t="s">
        <v>221</v>
      </c>
      <c r="T119" s="124">
        <f>R119*'Emisje - sektor mieszkalny'!$F$5/3600</f>
        <v>21810.198323285244</v>
      </c>
      <c r="U119" s="114">
        <f>T119*'Emisje - sektor mieszkalny'!$H$5</f>
        <v>4362.0396646570489</v>
      </c>
      <c r="V119" s="66"/>
      <c r="W119" s="61"/>
    </row>
    <row r="120" spans="1:23" ht="14.25">
      <c r="A120" s="119" t="s">
        <v>442</v>
      </c>
      <c r="B120" s="124">
        <v>274.99</v>
      </c>
      <c r="C120" s="124">
        <v>229.09004415000001</v>
      </c>
      <c r="D120" s="115" t="s">
        <v>223</v>
      </c>
      <c r="E120" s="124">
        <f>C120*'Emisje - sektor mieszkalny'!$F$7/3.6</f>
        <v>1440.0854719762499</v>
      </c>
      <c r="F120" s="114">
        <f>E120*'Emisje - sektor mieszkalny'!$H$7</f>
        <v>457.94718008844745</v>
      </c>
      <c r="G120" s="92"/>
      <c r="H120" s="109"/>
      <c r="I120" s="119" t="s">
        <v>442</v>
      </c>
      <c r="J120" s="124">
        <v>274.99</v>
      </c>
      <c r="K120" s="124">
        <v>192.01176749999999</v>
      </c>
      <c r="L120" s="115" t="s">
        <v>223</v>
      </c>
      <c r="M120" s="124">
        <f>K120*'Emisje - sektor mieszkalny'!$F$7/3.6</f>
        <v>1207.0073051458332</v>
      </c>
      <c r="N120" s="114">
        <f>M120*'Emisje - sektor mieszkalny'!$H$7</f>
        <v>383.82832303637497</v>
      </c>
      <c r="O120" s="109"/>
      <c r="P120" s="119" t="s">
        <v>442</v>
      </c>
      <c r="Q120" s="124">
        <v>274.99</v>
      </c>
      <c r="R120" s="124">
        <v>152.82569250000003</v>
      </c>
      <c r="S120" s="115" t="s">
        <v>223</v>
      </c>
      <c r="T120" s="124">
        <f>R120*'Emisje - sektor mieszkalny'!$F$7/3.6</f>
        <v>960.67928368750017</v>
      </c>
      <c r="U120" s="114">
        <f>T120*'Emisje - sektor mieszkalny'!$H$7</f>
        <v>305.49601221262503</v>
      </c>
      <c r="V120" s="66"/>
      <c r="W120" s="61"/>
    </row>
    <row r="121" spans="1:23" ht="14.25">
      <c r="A121" s="119" t="s">
        <v>132</v>
      </c>
      <c r="B121" s="124">
        <v>68955</v>
      </c>
      <c r="C121" s="124">
        <v>57445.376174999998</v>
      </c>
      <c r="D121" s="115" t="s">
        <v>222</v>
      </c>
      <c r="E121" s="124">
        <f>C121*'Emisje - sektor mieszkalny'!$F$6/3600</f>
        <v>641.31379679812494</v>
      </c>
      <c r="F121" s="114">
        <f>E121*'Emisje - sektor mieszkalny'!$H$6</f>
        <v>173.15472513549375</v>
      </c>
      <c r="G121" s="92"/>
      <c r="H121" s="109"/>
      <c r="I121" s="119" t="s">
        <v>132</v>
      </c>
      <c r="J121" s="124">
        <v>68955</v>
      </c>
      <c r="K121" s="124">
        <v>48147.828749999993</v>
      </c>
      <c r="L121" s="115" t="s">
        <v>222</v>
      </c>
      <c r="M121" s="124">
        <f>K121*'Emisje - sektor mieszkalny'!$F$6/3600</f>
        <v>537.51701040624994</v>
      </c>
      <c r="N121" s="114">
        <f>M121*'Emisje - sektor mieszkalny'!$H$6</f>
        <v>145.12959280968749</v>
      </c>
      <c r="O121" s="109"/>
      <c r="P121" s="119" t="s">
        <v>132</v>
      </c>
      <c r="Q121" s="124">
        <v>68955</v>
      </c>
      <c r="R121" s="124">
        <v>38321.741249999999</v>
      </c>
      <c r="S121" s="115" t="s">
        <v>222</v>
      </c>
      <c r="T121" s="124">
        <f>R121*'Emisje - sektor mieszkalny'!$F$6/3600</f>
        <v>427.81966134374994</v>
      </c>
      <c r="U121" s="114">
        <f>T121*'Emisje - sektor mieszkalny'!$H$6</f>
        <v>115.51130856281249</v>
      </c>
      <c r="V121" s="66"/>
      <c r="W121" s="61"/>
    </row>
    <row r="122" spans="1:23" ht="15" thickBot="1">
      <c r="A122" s="119" t="s">
        <v>333</v>
      </c>
      <c r="B122" s="124">
        <v>42644.7</v>
      </c>
      <c r="C122" s="124">
        <v>45975.677517000004</v>
      </c>
      <c r="D122" s="115" t="s">
        <v>423</v>
      </c>
      <c r="E122" s="125">
        <f>C122/3.6</f>
        <v>12771.021532500001</v>
      </c>
      <c r="F122" s="126">
        <f>C122*0.094</f>
        <v>4321.7136865980001</v>
      </c>
      <c r="G122" s="92"/>
      <c r="H122" s="109"/>
      <c r="I122" s="119" t="s">
        <v>333</v>
      </c>
      <c r="J122" s="124">
        <v>42644.7</v>
      </c>
      <c r="K122" s="124">
        <v>45657.548054999992</v>
      </c>
      <c r="L122" s="115" t="s">
        <v>423</v>
      </c>
      <c r="M122" s="125">
        <f>K122/3.6</f>
        <v>12682.652237499997</v>
      </c>
      <c r="N122" s="126">
        <f>K122*0.094</f>
        <v>4291.8095171699997</v>
      </c>
      <c r="O122" s="109"/>
      <c r="P122" s="119" t="s">
        <v>333</v>
      </c>
      <c r="Q122" s="124">
        <v>42644.7</v>
      </c>
      <c r="R122" s="124">
        <v>43753.462199999994</v>
      </c>
      <c r="S122" s="115" t="s">
        <v>423</v>
      </c>
      <c r="T122" s="125">
        <f>R122/3.6</f>
        <v>12153.739499999998</v>
      </c>
      <c r="U122" s="126">
        <f>R122*0.094</f>
        <v>4112.8254467999996</v>
      </c>
      <c r="V122" s="66"/>
      <c r="W122" s="61"/>
    </row>
    <row r="123" spans="1:23" ht="15" thickBot="1">
      <c r="A123" s="109"/>
      <c r="B123" s="109"/>
      <c r="C123" s="92"/>
      <c r="D123" s="92"/>
      <c r="E123" s="127">
        <f>SUM(E118:E122)</f>
        <v>42607.412040405965</v>
      </c>
      <c r="F123" s="128">
        <f>SUM(F118:F122)</f>
        <v>11716.015521454869</v>
      </c>
      <c r="G123" s="92"/>
      <c r="H123" s="109"/>
      <c r="I123" s="109"/>
      <c r="J123" s="109"/>
      <c r="K123" s="92"/>
      <c r="L123" s="92"/>
      <c r="M123" s="127">
        <f>SUM(M118:M122)</f>
        <v>41824.288083734442</v>
      </c>
      <c r="N123" s="128">
        <f>SUM(N118:N122)</f>
        <v>11451.663839511635</v>
      </c>
      <c r="O123" s="109"/>
      <c r="P123" s="109"/>
      <c r="Q123" s="109"/>
      <c r="R123" s="92"/>
      <c r="S123" s="92"/>
      <c r="T123" s="127">
        <f>SUM(T118:T122)</f>
        <v>39651.12056756649</v>
      </c>
      <c r="U123" s="128">
        <f>SUM(U118:U122)</f>
        <v>10813.085406697986</v>
      </c>
      <c r="V123" s="66"/>
      <c r="W123" s="61"/>
    </row>
    <row r="124" spans="1:23">
      <c r="A124" s="108"/>
      <c r="B124" s="110"/>
      <c r="C124" s="108"/>
      <c r="D124" s="108"/>
      <c r="E124" s="109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108"/>
      <c r="R124" s="110"/>
      <c r="S124" s="117"/>
      <c r="T124" s="117"/>
      <c r="U124" s="117"/>
      <c r="V124" s="66"/>
      <c r="W124" s="61"/>
    </row>
    <row r="125" spans="1:23">
      <c r="A125" s="350" t="s">
        <v>654</v>
      </c>
      <c r="B125" s="351"/>
      <c r="C125" s="351"/>
      <c r="D125" s="351"/>
      <c r="E125" s="351"/>
      <c r="F125" s="352"/>
      <c r="G125" s="109"/>
      <c r="H125" s="109"/>
      <c r="I125" s="357" t="s">
        <v>602</v>
      </c>
      <c r="J125" s="358"/>
      <c r="K125" s="358"/>
      <c r="L125" s="358"/>
      <c r="M125" s="358"/>
      <c r="N125" s="359"/>
      <c r="O125" s="109"/>
      <c r="P125" s="109"/>
      <c r="Q125" s="108"/>
      <c r="R125" s="110"/>
      <c r="S125" s="117"/>
      <c r="T125" s="117"/>
      <c r="U125" s="117"/>
      <c r="V125" s="66"/>
      <c r="W125" s="61"/>
    </row>
    <row r="126" spans="1:23" ht="12.75" customHeight="1">
      <c r="A126" s="353"/>
      <c r="B126" s="355"/>
      <c r="C126" s="355"/>
      <c r="D126" s="355"/>
      <c r="E126" s="355"/>
      <c r="F126" s="356"/>
      <c r="G126" s="109"/>
      <c r="H126" s="109"/>
      <c r="I126" s="360"/>
      <c r="J126" s="361"/>
      <c r="K126" s="361"/>
      <c r="L126" s="361"/>
      <c r="M126" s="361"/>
      <c r="N126" s="362"/>
      <c r="O126" s="109"/>
      <c r="P126" s="109"/>
      <c r="Q126" s="108"/>
      <c r="R126" s="110"/>
      <c r="S126" s="117"/>
      <c r="T126" s="117"/>
      <c r="U126" s="117"/>
      <c r="V126" s="66"/>
      <c r="W126" s="61"/>
    </row>
    <row r="127" spans="1:23" ht="14.25">
      <c r="A127" s="92"/>
      <c r="B127" s="110"/>
      <c r="C127" s="92"/>
      <c r="D127" s="108"/>
      <c r="E127" s="92"/>
      <c r="F127" s="109"/>
      <c r="G127" s="109"/>
      <c r="H127" s="109"/>
      <c r="I127" s="92"/>
      <c r="J127" s="110"/>
      <c r="K127" s="92"/>
      <c r="L127" s="108"/>
      <c r="M127" s="92"/>
      <c r="N127" s="92"/>
      <c r="O127" s="109"/>
      <c r="P127" s="109"/>
      <c r="Q127" s="108"/>
      <c r="R127" s="110"/>
      <c r="S127" s="117"/>
      <c r="T127" s="117"/>
      <c r="U127" s="117"/>
      <c r="V127" s="66"/>
      <c r="W127" s="61"/>
    </row>
    <row r="128" spans="1:23" ht="25.5">
      <c r="A128" s="92"/>
      <c r="B128" s="115" t="s">
        <v>455</v>
      </c>
      <c r="C128" s="116" t="s">
        <v>601</v>
      </c>
      <c r="D128" s="116" t="s">
        <v>695</v>
      </c>
      <c r="E128" s="92"/>
      <c r="F128" s="109"/>
      <c r="G128" s="109"/>
      <c r="H128" s="109"/>
      <c r="I128" s="92"/>
      <c r="J128" s="115" t="s">
        <v>455</v>
      </c>
      <c r="K128" s="116" t="s">
        <v>601</v>
      </c>
      <c r="L128" s="116" t="s">
        <v>695</v>
      </c>
      <c r="M128" s="92"/>
      <c r="N128" s="92"/>
      <c r="O128" s="109"/>
      <c r="P128" s="109"/>
      <c r="Q128" s="108"/>
      <c r="R128" s="110"/>
      <c r="S128" s="117"/>
      <c r="T128" s="117"/>
      <c r="U128" s="117"/>
      <c r="V128" s="66"/>
      <c r="W128" s="61"/>
    </row>
    <row r="129" spans="1:23" ht="14.25">
      <c r="A129" s="92"/>
      <c r="B129" s="115" t="s">
        <v>471</v>
      </c>
      <c r="C129" s="118">
        <f>E139/$E$144*100</f>
        <v>39.805365540528612</v>
      </c>
      <c r="D129" s="118">
        <f>D139/$D$144*100</f>
        <v>12.099308729033602</v>
      </c>
      <c r="E129" s="92"/>
      <c r="F129" s="109"/>
      <c r="G129" s="109"/>
      <c r="H129" s="109"/>
      <c r="I129" s="92"/>
      <c r="J129" s="115" t="s">
        <v>471</v>
      </c>
      <c r="K129" s="118">
        <f>N139/$N$144*100</f>
        <v>38.41411349588838</v>
      </c>
      <c r="L129" s="118">
        <f>M139/$M$144*100</f>
        <v>10.841266873971284</v>
      </c>
      <c r="M129" s="92"/>
      <c r="N129" s="92"/>
      <c r="O129" s="109"/>
      <c r="P129" s="109"/>
      <c r="Q129" s="108"/>
      <c r="R129" s="110"/>
      <c r="S129" s="117"/>
      <c r="T129" s="117"/>
      <c r="U129" s="117"/>
      <c r="V129" s="66"/>
      <c r="W129" s="61"/>
    </row>
    <row r="130" spans="1:23" ht="14.25">
      <c r="A130" s="92"/>
      <c r="B130" s="119" t="s">
        <v>362</v>
      </c>
      <c r="C130" s="118">
        <f t="shared" ref="C130:C133" si="6">E140/$E$144*100</f>
        <v>14.991741247112781</v>
      </c>
      <c r="D130" s="118">
        <f t="shared" ref="D130:D133" si="7">D140/$D$144*100</f>
        <v>53.381015593033851</v>
      </c>
      <c r="E130" s="92"/>
      <c r="F130" s="109"/>
      <c r="G130" s="109"/>
      <c r="H130" s="109"/>
      <c r="I130" s="92"/>
      <c r="J130" s="119" t="s">
        <v>362</v>
      </c>
      <c r="K130" s="118">
        <f t="shared" ref="K130:K133" si="8">N140/$N$144*100</f>
        <v>16.637923260832935</v>
      </c>
      <c r="L130" s="118">
        <f t="shared" ref="L130:L133" si="9">M140/$M$144*100</f>
        <v>55.005250825434118</v>
      </c>
      <c r="M130" s="92"/>
      <c r="N130" s="92"/>
      <c r="O130" s="109"/>
      <c r="P130" s="109"/>
      <c r="Q130" s="108"/>
      <c r="R130" s="110"/>
      <c r="S130" s="117"/>
      <c r="T130" s="117"/>
      <c r="U130" s="117"/>
      <c r="V130" s="66"/>
      <c r="W130" s="61"/>
    </row>
    <row r="131" spans="1:23" ht="14.25">
      <c r="A131" s="92"/>
      <c r="B131" s="119" t="s">
        <v>514</v>
      </c>
      <c r="C131" s="118">
        <f t="shared" si="6"/>
        <v>9.902756037448448</v>
      </c>
      <c r="D131" s="118">
        <f t="shared" si="7"/>
        <v>4.1599693107314168</v>
      </c>
      <c r="E131" s="92"/>
      <c r="F131" s="109"/>
      <c r="G131" s="109"/>
      <c r="H131" s="109"/>
      <c r="I131" s="92"/>
      <c r="J131" s="119" t="s">
        <v>514</v>
      </c>
      <c r="K131" s="118">
        <f t="shared" si="8"/>
        <v>6.2118167479773252</v>
      </c>
      <c r="L131" s="118">
        <f t="shared" si="9"/>
        <v>2.4228300989639848</v>
      </c>
      <c r="M131" s="92"/>
      <c r="N131" s="92"/>
      <c r="O131" s="109"/>
      <c r="P131" s="109"/>
      <c r="Q131" s="108"/>
      <c r="R131" s="110"/>
      <c r="S131" s="117"/>
      <c r="T131" s="117"/>
      <c r="U131" s="117"/>
      <c r="V131" s="66"/>
      <c r="W131" s="61"/>
    </row>
    <row r="132" spans="1:23" ht="14.25">
      <c r="A132" s="92"/>
      <c r="B132" s="119" t="s">
        <v>472</v>
      </c>
      <c r="C132" s="118">
        <f t="shared" si="6"/>
        <v>4.038368968980369</v>
      </c>
      <c r="D132" s="118">
        <f t="shared" si="7"/>
        <v>1.8525606744492193</v>
      </c>
      <c r="E132" s="92"/>
      <c r="F132" s="109"/>
      <c r="G132" s="109"/>
      <c r="H132" s="109"/>
      <c r="I132" s="92"/>
      <c r="J132" s="119" t="s">
        <v>472</v>
      </c>
      <c r="K132" s="118">
        <f t="shared" si="8"/>
        <v>2.5331945875632975</v>
      </c>
      <c r="L132" s="118">
        <f t="shared" si="9"/>
        <v>1.0789598256491508</v>
      </c>
      <c r="M132" s="92"/>
      <c r="N132" s="92"/>
      <c r="O132" s="109"/>
      <c r="P132" s="109"/>
      <c r="Q132" s="108"/>
      <c r="R132" s="110"/>
      <c r="S132" s="117"/>
      <c r="T132" s="117"/>
      <c r="U132" s="117"/>
    </row>
    <row r="133" spans="1:23" ht="15" thickBot="1">
      <c r="A133" s="92"/>
      <c r="B133" s="119" t="s">
        <v>473</v>
      </c>
      <c r="C133" s="120">
        <f t="shared" si="6"/>
        <v>31.261768205929812</v>
      </c>
      <c r="D133" s="120">
        <f t="shared" si="7"/>
        <v>28.507145692751905</v>
      </c>
      <c r="E133" s="92"/>
      <c r="F133" s="109"/>
      <c r="G133" s="109"/>
      <c r="H133" s="109"/>
      <c r="I133" s="92"/>
      <c r="J133" s="119" t="s">
        <v>473</v>
      </c>
      <c r="K133" s="120">
        <f t="shared" si="8"/>
        <v>36.202951907738068</v>
      </c>
      <c r="L133" s="120">
        <f t="shared" si="9"/>
        <v>30.651692375981472</v>
      </c>
      <c r="M133" s="92"/>
      <c r="N133" s="92"/>
      <c r="O133" s="109"/>
      <c r="P133" s="109"/>
      <c r="Q133" s="108"/>
      <c r="R133" s="110"/>
      <c r="S133" s="117"/>
      <c r="T133" s="117"/>
      <c r="U133" s="117"/>
    </row>
    <row r="134" spans="1:23" ht="15" thickBot="1">
      <c r="A134" s="109"/>
      <c r="B134" s="92"/>
      <c r="C134" s="121">
        <f>SUM(C129:C133)</f>
        <v>100.00000000000001</v>
      </c>
      <c r="D134" s="122">
        <f>SUM(D129:D133)</f>
        <v>99.999999999999986</v>
      </c>
      <c r="E134" s="92"/>
      <c r="F134" s="109"/>
      <c r="G134" s="109"/>
      <c r="H134" s="109"/>
      <c r="I134" s="109"/>
      <c r="J134" s="92"/>
      <c r="K134" s="121">
        <f>SUM(K129:K133)</f>
        <v>100</v>
      </c>
      <c r="L134" s="122">
        <f>SUM(L129:L133)</f>
        <v>100</v>
      </c>
      <c r="M134" s="92"/>
      <c r="N134" s="92"/>
      <c r="O134" s="109"/>
      <c r="P134" s="109"/>
      <c r="Q134" s="108"/>
      <c r="R134" s="110"/>
      <c r="S134" s="117"/>
      <c r="T134" s="117"/>
      <c r="U134" s="117"/>
    </row>
    <row r="135" spans="1:23" ht="14.25">
      <c r="A135" s="106"/>
      <c r="B135" s="107"/>
      <c r="C135" s="106"/>
      <c r="D135" s="92"/>
      <c r="E135" s="92"/>
      <c r="F135" s="109"/>
      <c r="G135" s="109"/>
      <c r="H135" s="109"/>
      <c r="I135" s="106"/>
      <c r="J135" s="107"/>
      <c r="K135" s="106"/>
      <c r="L135" s="92"/>
      <c r="M135" s="92"/>
      <c r="N135" s="92"/>
      <c r="O135" s="109"/>
      <c r="P135" s="109"/>
      <c r="Q135" s="108"/>
      <c r="R135" s="110"/>
      <c r="S135" s="117"/>
      <c r="T135" s="117"/>
      <c r="U135" s="117"/>
    </row>
    <row r="136" spans="1:23" ht="14.25">
      <c r="A136" s="106"/>
      <c r="B136" s="107"/>
      <c r="C136" s="106"/>
      <c r="D136" s="92"/>
      <c r="E136" s="92"/>
      <c r="F136" s="109"/>
      <c r="G136" s="109"/>
      <c r="H136" s="109"/>
      <c r="I136" s="106"/>
      <c r="J136" s="107"/>
      <c r="K136" s="106"/>
      <c r="L136" s="92"/>
      <c r="M136" s="92"/>
      <c r="N136" s="92"/>
      <c r="O136" s="109"/>
      <c r="P136" s="109"/>
      <c r="Q136" s="108"/>
      <c r="R136" s="110"/>
      <c r="S136" s="117"/>
      <c r="T136" s="117"/>
      <c r="U136" s="117"/>
    </row>
    <row r="137" spans="1:23" ht="14.25">
      <c r="A137" s="92"/>
      <c r="B137" s="123"/>
      <c r="C137" s="123"/>
      <c r="D137" s="92"/>
      <c r="E137" s="92"/>
      <c r="F137" s="109"/>
      <c r="G137" s="109"/>
      <c r="H137" s="109"/>
      <c r="I137" s="92"/>
      <c r="J137" s="123"/>
      <c r="K137" s="123"/>
      <c r="L137" s="92"/>
      <c r="M137" s="92"/>
      <c r="N137" s="92"/>
      <c r="O137" s="109"/>
      <c r="P137" s="109"/>
      <c r="Q137" s="108"/>
      <c r="R137" s="110"/>
      <c r="S137" s="117"/>
      <c r="T137" s="117"/>
      <c r="U137" s="117"/>
    </row>
    <row r="138" spans="1:23" ht="51">
      <c r="A138" s="119" t="s">
        <v>455</v>
      </c>
      <c r="B138" s="119" t="s">
        <v>227</v>
      </c>
      <c r="C138" s="115" t="s">
        <v>458</v>
      </c>
      <c r="D138" s="115" t="s">
        <v>689</v>
      </c>
      <c r="E138" s="116" t="s">
        <v>599</v>
      </c>
      <c r="F138" s="109"/>
      <c r="G138" s="109"/>
      <c r="H138" s="109"/>
      <c r="I138" s="119" t="s">
        <v>455</v>
      </c>
      <c r="J138" s="119" t="s">
        <v>227</v>
      </c>
      <c r="K138" s="116" t="s">
        <v>596</v>
      </c>
      <c r="L138" s="115" t="s">
        <v>458</v>
      </c>
      <c r="M138" s="115" t="s">
        <v>689</v>
      </c>
      <c r="N138" s="116" t="s">
        <v>599</v>
      </c>
      <c r="O138" s="109"/>
      <c r="P138" s="109"/>
      <c r="Q138" s="108"/>
      <c r="R138" s="110"/>
      <c r="S138" s="117"/>
      <c r="T138" s="117"/>
      <c r="U138" s="117"/>
    </row>
    <row r="139" spans="1:23">
      <c r="A139" s="115" t="s">
        <v>471</v>
      </c>
      <c r="B139" s="124">
        <v>5027700.3499999996</v>
      </c>
      <c r="C139" s="115" t="s">
        <v>422</v>
      </c>
      <c r="D139" s="124">
        <f>B139/1000</f>
        <v>5027.7003500000001</v>
      </c>
      <c r="E139" s="114">
        <f>D139*$I$95</f>
        <v>24736.285722000001</v>
      </c>
      <c r="F139" s="109"/>
      <c r="G139" s="109"/>
      <c r="H139" s="109"/>
      <c r="I139" s="115" t="s">
        <v>471</v>
      </c>
      <c r="J139" s="124">
        <v>5027700.3499999996</v>
      </c>
      <c r="K139" s="116">
        <v>4298683.7992500002</v>
      </c>
      <c r="L139" s="115" t="s">
        <v>422</v>
      </c>
      <c r="M139" s="124">
        <f>K139/1000</f>
        <v>4298.6837992500004</v>
      </c>
      <c r="N139" s="114">
        <f>M139*$I$95</f>
        <v>21149.524292310001</v>
      </c>
      <c r="O139" s="109"/>
      <c r="P139" s="109"/>
      <c r="Q139" s="108"/>
      <c r="R139" s="110"/>
      <c r="S139" s="117"/>
      <c r="T139" s="117"/>
      <c r="U139" s="117"/>
    </row>
    <row r="140" spans="1:23">
      <c r="A140" s="119" t="s">
        <v>1</v>
      </c>
      <c r="B140" s="124">
        <v>2221877.38</v>
      </c>
      <c r="C140" s="115" t="s">
        <v>221</v>
      </c>
      <c r="D140" s="124">
        <f>B140*'Emisje - sektor mieszkalny'!$F$5/3600</f>
        <v>22181.74251033333</v>
      </c>
      <c r="E140" s="114">
        <f>D140*$I$96</f>
        <v>9316.3318543399982</v>
      </c>
      <c r="F140" s="109"/>
      <c r="G140" s="109"/>
      <c r="H140" s="109"/>
      <c r="I140" s="119" t="s">
        <v>1</v>
      </c>
      <c r="J140" s="124">
        <v>2221877.38</v>
      </c>
      <c r="K140" s="124">
        <v>2184660.9338849997</v>
      </c>
      <c r="L140" s="115" t="s">
        <v>221</v>
      </c>
      <c r="M140" s="124">
        <f>K140*'Emisje - sektor mieszkalny'!$F$5/3600</f>
        <v>21810.198323285244</v>
      </c>
      <c r="N140" s="114">
        <f>M140*$I$96</f>
        <v>9160.2832957798018</v>
      </c>
      <c r="O140" s="109"/>
      <c r="P140" s="109"/>
      <c r="Q140" s="108"/>
      <c r="R140" s="110"/>
      <c r="S140" s="117"/>
      <c r="T140" s="117"/>
      <c r="U140" s="117"/>
    </row>
    <row r="141" spans="1:23">
      <c r="A141" s="119" t="s">
        <v>442</v>
      </c>
      <c r="B141" s="124">
        <v>274.99</v>
      </c>
      <c r="C141" s="115" t="s">
        <v>223</v>
      </c>
      <c r="D141" s="124">
        <f>B141*'Emisje - sektor mieszkalny'!$F$7/3.6</f>
        <v>1728.6176944444444</v>
      </c>
      <c r="E141" s="114">
        <f>$I$98*D141</f>
        <v>6153.8789922222222</v>
      </c>
      <c r="F141" s="109"/>
      <c r="G141" s="109"/>
      <c r="H141" s="109"/>
      <c r="I141" s="119" t="s">
        <v>442</v>
      </c>
      <c r="J141" s="124">
        <v>274.99</v>
      </c>
      <c r="K141" s="124">
        <v>152.82569250000003</v>
      </c>
      <c r="L141" s="115" t="s">
        <v>223</v>
      </c>
      <c r="M141" s="124">
        <f>K141*'Emisje - sektor mieszkalny'!$F$7/3.6</f>
        <v>960.67928368750017</v>
      </c>
      <c r="N141" s="114">
        <f>$I$98*M141</f>
        <v>3420.0182499275006</v>
      </c>
      <c r="O141" s="109"/>
      <c r="P141" s="109"/>
      <c r="Q141" s="108"/>
      <c r="R141" s="110"/>
      <c r="S141" s="117"/>
      <c r="T141" s="117"/>
      <c r="U141" s="117"/>
    </row>
    <row r="142" spans="1:23">
      <c r="A142" s="119" t="s">
        <v>132</v>
      </c>
      <c r="B142" s="124">
        <v>68955</v>
      </c>
      <c r="C142" s="115" t="s">
        <v>222</v>
      </c>
      <c r="D142" s="124">
        <f>B142*'Emisje - sektor mieszkalny'!$F$6/3600</f>
        <v>769.80595833333325</v>
      </c>
      <c r="E142" s="114">
        <f>D142*$I$97</f>
        <v>2509.5674241666661</v>
      </c>
      <c r="F142" s="109"/>
      <c r="G142" s="109"/>
      <c r="H142" s="109"/>
      <c r="I142" s="119" t="s">
        <v>132</v>
      </c>
      <c r="J142" s="124">
        <v>68955</v>
      </c>
      <c r="K142" s="124">
        <v>38321.741249999999</v>
      </c>
      <c r="L142" s="115" t="s">
        <v>222</v>
      </c>
      <c r="M142" s="124">
        <f>K142*'Emisje - sektor mieszkalny'!$F$6/3600</f>
        <v>427.81966134374994</v>
      </c>
      <c r="N142" s="114">
        <f>M142*$I$97</f>
        <v>1394.6920959806248</v>
      </c>
      <c r="O142" s="109"/>
      <c r="P142" s="109"/>
      <c r="Q142" s="108"/>
      <c r="R142" s="110"/>
      <c r="S142" s="117"/>
      <c r="T142" s="117"/>
      <c r="U142" s="117"/>
    </row>
    <row r="143" spans="1:23" ht="13.5" thickBot="1">
      <c r="A143" s="119" t="s">
        <v>333</v>
      </c>
      <c r="B143" s="124">
        <v>42644.7</v>
      </c>
      <c r="C143" s="115" t="s">
        <v>423</v>
      </c>
      <c r="D143" s="125">
        <f>B143/3.6</f>
        <v>11845.749999999998</v>
      </c>
      <c r="E143" s="126">
        <f>D143*$I$101</f>
        <v>19427.029999999995</v>
      </c>
      <c r="F143" s="109"/>
      <c r="G143" s="109"/>
      <c r="H143" s="109"/>
      <c r="I143" s="119" t="s">
        <v>333</v>
      </c>
      <c r="J143" s="124">
        <v>42644.7</v>
      </c>
      <c r="K143" s="124">
        <v>43753.462199999994</v>
      </c>
      <c r="L143" s="115" t="s">
        <v>423</v>
      </c>
      <c r="M143" s="125">
        <f>K143/3.6</f>
        <v>12153.739499999998</v>
      </c>
      <c r="N143" s="126">
        <f>M143*$I$101</f>
        <v>19932.132779999996</v>
      </c>
      <c r="O143" s="109"/>
      <c r="P143" s="109"/>
      <c r="Q143" s="108"/>
      <c r="R143" s="110"/>
      <c r="S143" s="117"/>
      <c r="T143" s="117"/>
      <c r="U143" s="117"/>
    </row>
    <row r="144" spans="1:23" ht="15" thickBot="1">
      <c r="A144" s="109"/>
      <c r="B144" s="109"/>
      <c r="C144" s="92"/>
      <c r="D144" s="127">
        <f>SUM(D139:D143)</f>
        <v>41553.616513111105</v>
      </c>
      <c r="E144" s="128">
        <f>SUM(E139:E143)</f>
        <v>62143.093992728871</v>
      </c>
      <c r="F144" s="109"/>
      <c r="G144" s="109"/>
      <c r="H144" s="109"/>
      <c r="I144" s="109"/>
      <c r="J144" s="109"/>
      <c r="K144" s="92"/>
      <c r="L144" s="92"/>
      <c r="M144" s="127">
        <f>SUM(M139:M143)</f>
        <v>39651.12056756649</v>
      </c>
      <c r="N144" s="128">
        <f>SUM(N139:N143)</f>
        <v>55056.650713997922</v>
      </c>
      <c r="O144" s="109"/>
      <c r="P144" s="109"/>
      <c r="Q144" s="108"/>
      <c r="R144" s="110"/>
      <c r="S144" s="117"/>
      <c r="T144" s="117"/>
      <c r="U144" s="117"/>
    </row>
    <row r="145" spans="1:21">
      <c r="A145" s="108"/>
      <c r="B145" s="110"/>
      <c r="C145" s="108"/>
      <c r="D145" s="108"/>
      <c r="E145" s="109"/>
      <c r="F145" s="109"/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108"/>
      <c r="R145" s="110"/>
      <c r="S145" s="117"/>
      <c r="T145" s="117"/>
      <c r="U145" s="117"/>
    </row>
    <row r="146" spans="1:21">
      <c r="A146" s="108"/>
      <c r="B146" s="110"/>
      <c r="C146" s="108"/>
      <c r="D146" s="108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108"/>
      <c r="R146" s="110"/>
      <c r="S146" s="117"/>
      <c r="T146" s="117"/>
      <c r="U146" s="117"/>
    </row>
    <row r="147" spans="1:21">
      <c r="A147" s="108"/>
      <c r="B147" s="110"/>
      <c r="C147" s="108"/>
      <c r="D147" s="108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108"/>
      <c r="R147" s="110"/>
      <c r="S147" s="117"/>
      <c r="T147" s="117"/>
      <c r="U147" s="117"/>
    </row>
    <row r="148" spans="1:21">
      <c r="A148" s="108"/>
      <c r="B148" s="110"/>
      <c r="C148" s="108"/>
      <c r="D148" s="108"/>
      <c r="E148" s="109"/>
      <c r="F148" s="109"/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108"/>
      <c r="R148" s="110"/>
      <c r="S148" s="117"/>
      <c r="T148" s="117"/>
      <c r="U148" s="117"/>
    </row>
    <row r="149" spans="1:21">
      <c r="A149" s="350" t="s">
        <v>655</v>
      </c>
      <c r="B149" s="351"/>
      <c r="C149" s="351"/>
      <c r="D149" s="351"/>
      <c r="E149" s="351"/>
      <c r="F149" s="352"/>
      <c r="G149" s="109"/>
      <c r="H149" s="109"/>
      <c r="I149" s="357" t="s">
        <v>603</v>
      </c>
      <c r="J149" s="358"/>
      <c r="K149" s="358"/>
      <c r="L149" s="358"/>
      <c r="M149" s="358"/>
      <c r="N149" s="359"/>
      <c r="O149" s="109"/>
      <c r="P149" s="109"/>
      <c r="Q149" s="108"/>
      <c r="R149" s="110"/>
      <c r="S149" s="117"/>
      <c r="T149" s="117"/>
      <c r="U149" s="117"/>
    </row>
    <row r="150" spans="1:21">
      <c r="A150" s="353"/>
      <c r="B150" s="354"/>
      <c r="C150" s="354"/>
      <c r="D150" s="354"/>
      <c r="E150" s="355"/>
      <c r="F150" s="356"/>
      <c r="G150" s="109"/>
      <c r="H150" s="109"/>
      <c r="I150" s="360"/>
      <c r="J150" s="363"/>
      <c r="K150" s="363"/>
      <c r="L150" s="363"/>
      <c r="M150" s="361"/>
      <c r="N150" s="362"/>
      <c r="O150" s="109"/>
      <c r="P150" s="109"/>
      <c r="Q150" s="108"/>
      <c r="R150" s="110"/>
      <c r="S150" s="117"/>
      <c r="T150" s="117"/>
      <c r="U150" s="117"/>
    </row>
    <row r="151" spans="1:21" ht="25.5">
      <c r="A151" s="92"/>
      <c r="B151" s="115" t="s">
        <v>455</v>
      </c>
      <c r="C151" s="116" t="s">
        <v>623</v>
      </c>
      <c r="D151" s="116" t="s">
        <v>695</v>
      </c>
      <c r="E151" s="92"/>
      <c r="F151" s="109"/>
      <c r="G151" s="109"/>
      <c r="H151" s="109"/>
      <c r="I151" s="92"/>
      <c r="J151" s="115" t="s">
        <v>455</v>
      </c>
      <c r="K151" s="116" t="s">
        <v>623</v>
      </c>
      <c r="L151" s="116" t="s">
        <v>695</v>
      </c>
      <c r="M151" s="92"/>
      <c r="N151" s="92"/>
      <c r="O151" s="109"/>
      <c r="P151" s="109"/>
      <c r="Q151" s="108"/>
      <c r="R151" s="110"/>
      <c r="S151" s="117"/>
      <c r="T151" s="117"/>
      <c r="U151" s="117"/>
    </row>
    <row r="152" spans="1:21" ht="14.25">
      <c r="A152" s="92"/>
      <c r="B152" s="115" t="s">
        <v>471</v>
      </c>
      <c r="C152" s="118">
        <f>E162/$E$167*100</f>
        <v>0</v>
      </c>
      <c r="D152" s="118">
        <f>D162/$D$167*100</f>
        <v>12.099308729033602</v>
      </c>
      <c r="E152" s="92"/>
      <c r="F152" s="109"/>
      <c r="G152" s="109"/>
      <c r="H152" s="109"/>
      <c r="I152" s="92"/>
      <c r="J152" s="115" t="s">
        <v>471</v>
      </c>
      <c r="K152" s="118">
        <f>N162/$N$167*100</f>
        <v>0</v>
      </c>
      <c r="L152" s="118">
        <f>M162/$M$167*100</f>
        <v>10.841266873971284</v>
      </c>
      <c r="M152" s="92"/>
      <c r="N152" s="92"/>
      <c r="O152" s="109"/>
      <c r="P152" s="109"/>
      <c r="Q152" s="108"/>
      <c r="R152" s="110"/>
      <c r="S152" s="117"/>
      <c r="T152" s="117"/>
      <c r="U152" s="117"/>
    </row>
    <row r="153" spans="1:21" ht="14.25">
      <c r="A153" s="92"/>
      <c r="B153" s="119" t="s">
        <v>362</v>
      </c>
      <c r="C153" s="118">
        <f t="shared" ref="C153:C156" si="10">E163/$E$167*100</f>
        <v>22.202896361349243</v>
      </c>
      <c r="D153" s="118">
        <f t="shared" ref="D153:D156" si="11">D163/$D$167*100</f>
        <v>53.381015593033851</v>
      </c>
      <c r="E153" s="92"/>
      <c r="F153" s="109"/>
      <c r="G153" s="109"/>
      <c r="H153" s="109"/>
      <c r="I153" s="92"/>
      <c r="J153" s="119" t="s">
        <v>362</v>
      </c>
      <c r="K153" s="118">
        <f t="shared" ref="K153:K156" si="12">N163/$N$167*100</f>
        <v>33.44868590708117</v>
      </c>
      <c r="L153" s="118">
        <f t="shared" ref="L153:L156" si="13">M163/$M$167*100</f>
        <v>55.005250825434118</v>
      </c>
      <c r="M153" s="92"/>
      <c r="N153" s="92"/>
      <c r="O153" s="109"/>
      <c r="P153" s="109"/>
      <c r="Q153" s="108"/>
      <c r="R153" s="110"/>
      <c r="S153" s="117"/>
      <c r="T153" s="117"/>
      <c r="U153" s="117"/>
    </row>
    <row r="154" spans="1:21" ht="14.25">
      <c r="A154" s="92"/>
      <c r="B154" s="119" t="s">
        <v>514</v>
      </c>
      <c r="C154" s="118">
        <f t="shared" si="10"/>
        <v>76.942178137394777</v>
      </c>
      <c r="D154" s="118">
        <f t="shared" si="11"/>
        <v>4.1599693107314168</v>
      </c>
      <c r="E154" s="92"/>
      <c r="F154" s="109"/>
      <c r="G154" s="109"/>
      <c r="H154" s="109"/>
      <c r="I154" s="92"/>
      <c r="J154" s="119" t="s">
        <v>514</v>
      </c>
      <c r="K154" s="118">
        <f t="shared" si="12"/>
        <v>65.516308830807873</v>
      </c>
      <c r="L154" s="118">
        <f t="shared" si="13"/>
        <v>2.4228300989639848</v>
      </c>
      <c r="M154" s="92"/>
      <c r="N154" s="92"/>
      <c r="O154" s="109"/>
      <c r="P154" s="109"/>
      <c r="Q154" s="108"/>
      <c r="R154" s="110"/>
      <c r="S154" s="117"/>
      <c r="T154" s="117"/>
      <c r="U154" s="117"/>
    </row>
    <row r="155" spans="1:21" ht="14.25">
      <c r="A155" s="92"/>
      <c r="B155" s="119" t="s">
        <v>472</v>
      </c>
      <c r="C155" s="118">
        <f t="shared" si="10"/>
        <v>0.42878323841840027</v>
      </c>
      <c r="D155" s="118">
        <f t="shared" si="11"/>
        <v>1.8525606744492193</v>
      </c>
      <c r="E155" s="92"/>
      <c r="F155" s="109"/>
      <c r="G155" s="109"/>
      <c r="H155" s="109"/>
      <c r="I155" s="92"/>
      <c r="J155" s="119" t="s">
        <v>472</v>
      </c>
      <c r="K155" s="118">
        <f t="shared" si="12"/>
        <v>0.36510917353456951</v>
      </c>
      <c r="L155" s="118">
        <f t="shared" si="13"/>
        <v>1.0789598256491506</v>
      </c>
      <c r="M155" s="92"/>
      <c r="N155" s="92"/>
      <c r="O155" s="109"/>
      <c r="P155" s="109"/>
      <c r="Q155" s="108"/>
      <c r="R155" s="110"/>
      <c r="S155" s="117"/>
      <c r="T155" s="117"/>
      <c r="U155" s="117"/>
    </row>
    <row r="156" spans="1:21" ht="15" thickBot="1">
      <c r="A156" s="92"/>
      <c r="B156" s="119" t="s">
        <v>473</v>
      </c>
      <c r="C156" s="120">
        <f t="shared" si="10"/>
        <v>0.42614226283757844</v>
      </c>
      <c r="D156" s="120">
        <f t="shared" si="11"/>
        <v>28.507145692751905</v>
      </c>
      <c r="E156" s="92"/>
      <c r="F156" s="109"/>
      <c r="G156" s="109"/>
      <c r="H156" s="109"/>
      <c r="I156" s="92"/>
      <c r="J156" s="119" t="s">
        <v>473</v>
      </c>
      <c r="K156" s="120">
        <f t="shared" si="12"/>
        <v>0.66989608857636429</v>
      </c>
      <c r="L156" s="120">
        <f t="shared" si="13"/>
        <v>30.651692375981472</v>
      </c>
      <c r="M156" s="92"/>
      <c r="N156" s="92"/>
      <c r="O156" s="109"/>
      <c r="P156" s="109"/>
      <c r="Q156" s="108"/>
      <c r="R156" s="110"/>
      <c r="S156" s="117"/>
      <c r="T156" s="117"/>
      <c r="U156" s="117"/>
    </row>
    <row r="157" spans="1:21" ht="15" thickBot="1">
      <c r="A157" s="109"/>
      <c r="B157" s="92"/>
      <c r="C157" s="121">
        <f>SUM(C152:C156)</f>
        <v>100</v>
      </c>
      <c r="D157" s="122">
        <f>SUM(D152:D156)</f>
        <v>99.999999999999986</v>
      </c>
      <c r="E157" s="92"/>
      <c r="F157" s="109"/>
      <c r="G157" s="109"/>
      <c r="H157" s="109"/>
      <c r="I157" s="109"/>
      <c r="J157" s="92"/>
      <c r="K157" s="121">
        <f>SUM(K152:K156)</f>
        <v>99.999999999999972</v>
      </c>
      <c r="L157" s="122">
        <f>SUM(L152:L156)</f>
        <v>100</v>
      </c>
      <c r="M157" s="92"/>
      <c r="N157" s="92"/>
      <c r="O157" s="109"/>
      <c r="P157" s="109"/>
      <c r="Q157" s="108"/>
      <c r="R157" s="110"/>
      <c r="S157" s="117"/>
      <c r="T157" s="117"/>
      <c r="U157" s="117"/>
    </row>
    <row r="158" spans="1:21" ht="14.25">
      <c r="A158" s="106"/>
      <c r="B158" s="107"/>
      <c r="C158" s="106"/>
      <c r="D158" s="92"/>
      <c r="E158" s="92"/>
      <c r="F158" s="109"/>
      <c r="G158" s="109"/>
      <c r="H158" s="109"/>
      <c r="I158" s="106"/>
      <c r="J158" s="107"/>
      <c r="K158" s="106"/>
      <c r="L158" s="92"/>
      <c r="M158" s="92"/>
      <c r="N158" s="92"/>
      <c r="O158" s="109"/>
      <c r="P158" s="109"/>
      <c r="Q158" s="108"/>
      <c r="R158" s="110"/>
      <c r="S158" s="117"/>
      <c r="T158" s="117"/>
      <c r="U158" s="117"/>
    </row>
    <row r="159" spans="1:21" ht="14.25">
      <c r="A159" s="106"/>
      <c r="B159" s="107"/>
      <c r="C159" s="106"/>
      <c r="D159" s="92"/>
      <c r="E159" s="92"/>
      <c r="F159" s="109"/>
      <c r="G159" s="109"/>
      <c r="H159" s="109"/>
      <c r="I159" s="106"/>
      <c r="J159" s="107"/>
      <c r="K159" s="106"/>
      <c r="L159" s="92"/>
      <c r="M159" s="92"/>
      <c r="N159" s="92"/>
      <c r="O159" s="109"/>
      <c r="P159" s="109"/>
      <c r="Q159" s="108"/>
      <c r="R159" s="110"/>
      <c r="S159" s="117"/>
      <c r="T159" s="117"/>
      <c r="U159" s="117"/>
    </row>
    <row r="160" spans="1:21" ht="14.25">
      <c r="A160" s="92"/>
      <c r="B160" s="123"/>
      <c r="C160" s="123"/>
      <c r="D160" s="92"/>
      <c r="E160" s="92"/>
      <c r="F160" s="109"/>
      <c r="G160" s="109"/>
      <c r="H160" s="109"/>
      <c r="I160" s="92"/>
      <c r="J160" s="123"/>
      <c r="K160" s="123"/>
      <c r="L160" s="92"/>
      <c r="M160" s="92"/>
      <c r="N160" s="92"/>
      <c r="O160" s="109"/>
      <c r="P160" s="109"/>
      <c r="Q160" s="108"/>
      <c r="R160" s="110"/>
      <c r="S160" s="117"/>
      <c r="T160" s="117"/>
      <c r="U160" s="117"/>
    </row>
    <row r="161" spans="1:21" ht="51">
      <c r="A161" s="119" t="s">
        <v>455</v>
      </c>
      <c r="B161" s="119" t="s">
        <v>227</v>
      </c>
      <c r="C161" s="115" t="s">
        <v>458</v>
      </c>
      <c r="D161" s="115" t="s">
        <v>689</v>
      </c>
      <c r="E161" s="116" t="s">
        <v>624</v>
      </c>
      <c r="F161" s="109"/>
      <c r="G161" s="109"/>
      <c r="H161" s="109"/>
      <c r="I161" s="119" t="s">
        <v>455</v>
      </c>
      <c r="J161" s="119" t="s">
        <v>227</v>
      </c>
      <c r="K161" s="116" t="s">
        <v>596</v>
      </c>
      <c r="L161" s="115" t="s">
        <v>458</v>
      </c>
      <c r="M161" s="115" t="s">
        <v>689</v>
      </c>
      <c r="N161" s="116" t="s">
        <v>630</v>
      </c>
      <c r="O161" s="109"/>
      <c r="P161" s="109"/>
      <c r="Q161" s="108"/>
      <c r="R161" s="110"/>
      <c r="S161" s="117"/>
      <c r="T161" s="117"/>
      <c r="U161" s="117"/>
    </row>
    <row r="162" spans="1:21">
      <c r="A162" s="115" t="s">
        <v>471</v>
      </c>
      <c r="B162" s="124">
        <v>5027700.3499999996</v>
      </c>
      <c r="C162" s="115" t="s">
        <v>422</v>
      </c>
      <c r="D162" s="124">
        <f>B162/1000</f>
        <v>5027.7003500000001</v>
      </c>
      <c r="E162" s="114">
        <f>B162*$L$95</f>
        <v>0</v>
      </c>
      <c r="F162" s="109"/>
      <c r="G162" s="109"/>
      <c r="H162" s="109"/>
      <c r="I162" s="115" t="s">
        <v>471</v>
      </c>
      <c r="J162" s="124">
        <v>5027700.3499999996</v>
      </c>
      <c r="K162" s="116">
        <v>4298683.7992500002</v>
      </c>
      <c r="L162" s="115" t="s">
        <v>422</v>
      </c>
      <c r="M162" s="124">
        <f>K162/1000</f>
        <v>4298.6837992500004</v>
      </c>
      <c r="N162" s="114">
        <f>K162*$L$95</f>
        <v>0</v>
      </c>
      <c r="O162" s="109"/>
      <c r="P162" s="109"/>
      <c r="Q162" s="108"/>
      <c r="R162" s="110"/>
      <c r="S162" s="117"/>
      <c r="T162" s="117"/>
      <c r="U162" s="117"/>
    </row>
    <row r="163" spans="1:21">
      <c r="A163" s="119" t="s">
        <v>1</v>
      </c>
      <c r="B163" s="124">
        <v>2221877.38</v>
      </c>
      <c r="C163" s="115" t="s">
        <v>221</v>
      </c>
      <c r="D163" s="124">
        <f>B163*'Emisje - sektor mieszkalny'!$F$5/3600</f>
        <v>22181.74251033333</v>
      </c>
      <c r="E163" s="114">
        <f>B163*$L$96</f>
        <v>1110.93869</v>
      </c>
      <c r="F163" s="109"/>
      <c r="G163" s="109"/>
      <c r="H163" s="109"/>
      <c r="I163" s="119" t="s">
        <v>1</v>
      </c>
      <c r="J163" s="124">
        <v>2221877.38</v>
      </c>
      <c r="K163" s="124">
        <v>2184660.9338849997</v>
      </c>
      <c r="L163" s="115" t="s">
        <v>221</v>
      </c>
      <c r="M163" s="124">
        <f>K163*'Emisje - sektor mieszkalny'!$F$5/3600</f>
        <v>21810.198323285244</v>
      </c>
      <c r="N163" s="114">
        <f>K163*$L$96</f>
        <v>1092.3304669424999</v>
      </c>
      <c r="O163" s="109"/>
      <c r="P163" s="109"/>
      <c r="Q163" s="108"/>
      <c r="R163" s="110"/>
      <c r="S163" s="117"/>
      <c r="T163" s="117"/>
      <c r="U163" s="117"/>
    </row>
    <row r="164" spans="1:21">
      <c r="A164" s="119" t="s">
        <v>442</v>
      </c>
      <c r="B164" s="124">
        <v>274.99</v>
      </c>
      <c r="C164" s="115" t="s">
        <v>223</v>
      </c>
      <c r="D164" s="124">
        <f>B164*'Emisje - sektor mieszkalny'!$F$7/3.6</f>
        <v>1728.6176944444444</v>
      </c>
      <c r="E164" s="114">
        <f>$L$98*B164</f>
        <v>3849.86</v>
      </c>
      <c r="F164" s="109"/>
      <c r="G164" s="109"/>
      <c r="H164" s="109"/>
      <c r="I164" s="119" t="s">
        <v>442</v>
      </c>
      <c r="J164" s="124">
        <v>274.99</v>
      </c>
      <c r="K164" s="124">
        <v>152.82569250000003</v>
      </c>
      <c r="L164" s="115" t="s">
        <v>223</v>
      </c>
      <c r="M164" s="124">
        <f>K164*'Emisje - sektor mieszkalny'!$F$7/3.6</f>
        <v>960.67928368750017</v>
      </c>
      <c r="N164" s="114">
        <f>$L$98*K164</f>
        <v>2139.5596950000004</v>
      </c>
      <c r="O164" s="109"/>
      <c r="P164" s="109"/>
      <c r="Q164" s="108"/>
      <c r="R164" s="110"/>
      <c r="S164" s="117"/>
      <c r="T164" s="117"/>
      <c r="U164" s="117"/>
    </row>
    <row r="165" spans="1:21">
      <c r="A165" s="119" t="s">
        <v>132</v>
      </c>
      <c r="B165" s="124">
        <v>68.954999999999998</v>
      </c>
      <c r="C165" s="115" t="s">
        <v>222</v>
      </c>
      <c r="D165" s="124">
        <f>B165*'Emisje - sektor mieszkalny'!$F$6/3.6</f>
        <v>769.80595833333325</v>
      </c>
      <c r="E165" s="114">
        <f>B165*$L$97</f>
        <v>21.454493207999999</v>
      </c>
      <c r="F165" s="109"/>
      <c r="G165" s="109"/>
      <c r="H165" s="109"/>
      <c r="I165" s="119" t="s">
        <v>132</v>
      </c>
      <c r="J165" s="124">
        <v>68.954999999999998</v>
      </c>
      <c r="K165" s="124">
        <v>38.321741249999995</v>
      </c>
      <c r="L165" s="115" t="s">
        <v>222</v>
      </c>
      <c r="M165" s="124">
        <f>K165*'Emisje - sektor mieszkalny'!$F$6/3.6</f>
        <v>427.81966134374989</v>
      </c>
      <c r="N165" s="114">
        <f>K165*$L$97</f>
        <v>11.923334600345999</v>
      </c>
      <c r="O165" s="109"/>
      <c r="P165" s="109"/>
      <c r="Q165" s="108"/>
      <c r="R165" s="110"/>
      <c r="S165" s="117"/>
      <c r="T165" s="117"/>
      <c r="U165" s="117"/>
    </row>
    <row r="166" spans="1:21" ht="13.5" thickBot="1">
      <c r="A166" s="119" t="s">
        <v>333</v>
      </c>
      <c r="B166" s="124">
        <v>42644.7</v>
      </c>
      <c r="C166" s="115" t="s">
        <v>423</v>
      </c>
      <c r="D166" s="125">
        <f>B166/3.6</f>
        <v>11845.749999999998</v>
      </c>
      <c r="E166" s="126">
        <f>B166*$L$101</f>
        <v>21.32235</v>
      </c>
      <c r="F166" s="109"/>
      <c r="G166" s="109"/>
      <c r="H166" s="109"/>
      <c r="I166" s="119" t="s">
        <v>333</v>
      </c>
      <c r="J166" s="124">
        <v>42644.7</v>
      </c>
      <c r="K166" s="124">
        <v>43753.462199999994</v>
      </c>
      <c r="L166" s="115" t="s">
        <v>423</v>
      </c>
      <c r="M166" s="125">
        <f>K166/3.6</f>
        <v>12153.739499999998</v>
      </c>
      <c r="N166" s="126">
        <f>K166*$L$101</f>
        <v>21.876731099999997</v>
      </c>
      <c r="O166" s="109"/>
      <c r="P166" s="109"/>
      <c r="Q166" s="108"/>
      <c r="R166" s="110"/>
      <c r="S166" s="117"/>
      <c r="T166" s="117"/>
      <c r="U166" s="117"/>
    </row>
    <row r="167" spans="1:21" ht="15" thickBot="1">
      <c r="A167" s="109"/>
      <c r="B167" s="109"/>
      <c r="C167" s="92"/>
      <c r="D167" s="127">
        <f>SUM(D162:D166)</f>
        <v>41553.616513111105</v>
      </c>
      <c r="E167" s="128">
        <f>SUM(E162:E166)</f>
        <v>5003.5755332079998</v>
      </c>
      <c r="F167" s="109"/>
      <c r="G167" s="109"/>
      <c r="H167" s="109"/>
      <c r="I167" s="109"/>
      <c r="J167" s="109"/>
      <c r="K167" s="92"/>
      <c r="L167" s="92"/>
      <c r="M167" s="127">
        <f>SUM(M162:M166)</f>
        <v>39651.12056756649</v>
      </c>
      <c r="N167" s="128">
        <f>SUM(N162:N166)</f>
        <v>3265.6902276428468</v>
      </c>
      <c r="O167" s="109"/>
      <c r="P167" s="109"/>
      <c r="Q167" s="108"/>
      <c r="R167" s="110"/>
      <c r="S167" s="117"/>
      <c r="T167" s="117"/>
      <c r="U167" s="117"/>
    </row>
    <row r="168" spans="1:21">
      <c r="A168" s="108"/>
      <c r="B168" s="110"/>
      <c r="C168" s="108"/>
      <c r="D168" s="108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8"/>
      <c r="R168" s="110"/>
      <c r="S168" s="117"/>
      <c r="T168" s="117"/>
      <c r="U168" s="117"/>
    </row>
    <row r="169" spans="1:21">
      <c r="A169" s="64"/>
      <c r="B169" s="65"/>
      <c r="C169" s="64"/>
      <c r="D169" s="64"/>
      <c r="E169" s="61"/>
      <c r="F169" s="61"/>
      <c r="G169" s="61"/>
      <c r="H169" s="61"/>
      <c r="I169" s="61"/>
      <c r="J169" s="61"/>
      <c r="K169" s="61"/>
      <c r="L169" s="61"/>
      <c r="M169" s="61"/>
      <c r="N169" s="61"/>
    </row>
    <row r="170" spans="1:21">
      <c r="A170" s="64"/>
      <c r="B170" s="65"/>
      <c r="C170" s="64"/>
      <c r="D170" s="64"/>
      <c r="E170" s="61"/>
      <c r="F170" s="61"/>
      <c r="G170" s="61"/>
      <c r="H170" s="61"/>
      <c r="I170" s="61"/>
      <c r="J170" s="61"/>
      <c r="K170" s="61"/>
      <c r="L170" s="61"/>
      <c r="M170" s="61"/>
      <c r="N170" s="61"/>
    </row>
    <row r="171" spans="1:21">
      <c r="A171" s="64"/>
      <c r="B171" s="65"/>
      <c r="C171" s="64"/>
      <c r="D171" s="64"/>
      <c r="E171" s="61"/>
      <c r="F171" s="61"/>
      <c r="G171" s="61"/>
      <c r="H171" s="61"/>
      <c r="I171" s="61"/>
      <c r="J171" s="61"/>
      <c r="K171" s="61"/>
      <c r="L171" s="61"/>
      <c r="M171" s="61"/>
      <c r="N171" s="61"/>
    </row>
    <row r="172" spans="1:21">
      <c r="A172" s="64"/>
      <c r="B172" s="65"/>
      <c r="C172" s="64"/>
      <c r="D172" s="64"/>
      <c r="E172" s="61"/>
      <c r="F172" s="61"/>
      <c r="G172" s="61"/>
      <c r="H172" s="61"/>
      <c r="I172" s="61"/>
      <c r="J172" s="61"/>
      <c r="K172" s="61"/>
      <c r="L172" s="61"/>
      <c r="M172" s="61"/>
      <c r="N172" s="61"/>
    </row>
    <row r="173" spans="1:21">
      <c r="A173" s="64"/>
      <c r="B173" s="65"/>
      <c r="C173" s="64"/>
      <c r="D173" s="64"/>
      <c r="E173" s="61"/>
      <c r="F173" s="61"/>
      <c r="G173" s="61"/>
      <c r="H173" s="61"/>
      <c r="I173" s="61"/>
      <c r="J173" s="61"/>
      <c r="K173" s="61"/>
      <c r="L173" s="61"/>
      <c r="M173" s="61"/>
      <c r="N173" s="61"/>
    </row>
  </sheetData>
  <sortState ref="A1:W78">
    <sortCondition ref="A4"/>
  </sortState>
  <mergeCells count="25">
    <mergeCell ref="A149:F150"/>
    <mergeCell ref="I125:N126"/>
    <mergeCell ref="I149:N150"/>
    <mergeCell ref="A106:F106"/>
    <mergeCell ref="P2:P3"/>
    <mergeCell ref="A104:F105"/>
    <mergeCell ref="I104:N105"/>
    <mergeCell ref="P104:U105"/>
    <mergeCell ref="A125:F126"/>
    <mergeCell ref="L93:M94"/>
    <mergeCell ref="B74:F75"/>
    <mergeCell ref="I93:J94"/>
    <mergeCell ref="A1:W1"/>
    <mergeCell ref="W2:W3"/>
    <mergeCell ref="S2:V2"/>
    <mergeCell ref="A2:A3"/>
    <mergeCell ref="B2:B3"/>
    <mergeCell ref="C2:C3"/>
    <mergeCell ref="D2:D3"/>
    <mergeCell ref="O2:O3"/>
    <mergeCell ref="M2:M3"/>
    <mergeCell ref="R2:R3"/>
    <mergeCell ref="Q2:Q3"/>
    <mergeCell ref="N2:N3"/>
    <mergeCell ref="E2:L2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W78"/>
  <sheetViews>
    <sheetView zoomScale="70" zoomScaleNormal="70" workbookViewId="0">
      <selection activeCell="I37" sqref="I37"/>
    </sheetView>
  </sheetViews>
  <sheetFormatPr defaultColWidth="12.875" defaultRowHeight="15.75"/>
  <cols>
    <col min="1" max="1" width="30" style="2" customWidth="1"/>
    <col min="2" max="2" width="16.375" style="2" customWidth="1"/>
    <col min="3" max="3" width="15.25" style="2" customWidth="1"/>
    <col min="4" max="4" width="18.5" style="2" customWidth="1"/>
    <col min="5" max="5" width="19.625" style="2" customWidth="1"/>
    <col min="6" max="6" width="19" style="2" customWidth="1"/>
    <col min="7" max="7" width="16.125" style="2" customWidth="1"/>
    <col min="8" max="8" width="12.875" style="2"/>
    <col min="9" max="9" width="16.625" style="2" customWidth="1"/>
    <col min="10" max="10" width="18.25" style="2" bestFit="1" customWidth="1"/>
    <col min="11" max="11" width="17.75" style="2" customWidth="1"/>
    <col min="12" max="12" width="12.875" style="2"/>
    <col min="13" max="13" width="18.5" style="2" customWidth="1"/>
    <col min="14" max="14" width="21.375" style="2" customWidth="1"/>
    <col min="15" max="15" width="15.625" style="2" bestFit="1" customWidth="1"/>
    <col min="16" max="16" width="20.25" style="2" customWidth="1"/>
    <col min="17" max="17" width="20.125" style="2" customWidth="1"/>
    <col min="18" max="20" width="12.875" style="2"/>
    <col min="21" max="21" width="19.625" style="2" customWidth="1"/>
    <col min="22" max="22" width="21.25" style="2" customWidth="1"/>
    <col min="23" max="23" width="24.25" style="2" customWidth="1"/>
    <col min="24" max="16384" width="12.875" style="2"/>
  </cols>
  <sheetData>
    <row r="1" spans="1:23" ht="27.75" customHeight="1">
      <c r="A1" s="372" t="s">
        <v>656</v>
      </c>
      <c r="B1" s="372"/>
      <c r="C1" s="372"/>
      <c r="D1" s="372"/>
      <c r="E1" s="372"/>
      <c r="F1" s="372"/>
      <c r="G1" s="372"/>
      <c r="H1" s="129"/>
      <c r="I1" s="372" t="s">
        <v>657</v>
      </c>
      <c r="J1" s="372"/>
      <c r="K1" s="372"/>
      <c r="L1" s="372"/>
      <c r="M1" s="372"/>
      <c r="N1" s="372"/>
      <c r="O1" s="372"/>
      <c r="P1" s="130"/>
      <c r="Q1" s="372" t="s">
        <v>658</v>
      </c>
      <c r="R1" s="372"/>
      <c r="S1" s="372"/>
      <c r="T1" s="372"/>
      <c r="U1" s="372"/>
      <c r="V1" s="372"/>
      <c r="W1" s="372"/>
    </row>
    <row r="2" spans="1:23" ht="94.5">
      <c r="A2" s="75" t="s">
        <v>493</v>
      </c>
      <c r="B2" s="131" t="s">
        <v>510</v>
      </c>
      <c r="C2" s="131" t="s">
        <v>509</v>
      </c>
      <c r="D2" s="131" t="s">
        <v>512</v>
      </c>
      <c r="E2" s="131" t="s">
        <v>511</v>
      </c>
      <c r="F2" s="131" t="s">
        <v>689</v>
      </c>
      <c r="G2" s="75" t="s">
        <v>452</v>
      </c>
      <c r="H2" s="130"/>
      <c r="I2" s="75" t="s">
        <v>493</v>
      </c>
      <c r="J2" s="131" t="s">
        <v>510</v>
      </c>
      <c r="K2" s="131" t="s">
        <v>509</v>
      </c>
      <c r="L2" s="131" t="s">
        <v>512</v>
      </c>
      <c r="M2" s="131" t="s">
        <v>511</v>
      </c>
      <c r="N2" s="131" t="s">
        <v>689</v>
      </c>
      <c r="O2" s="75" t="s">
        <v>452</v>
      </c>
      <c r="P2" s="130"/>
      <c r="Q2" s="75" t="s">
        <v>493</v>
      </c>
      <c r="R2" s="131" t="s">
        <v>510</v>
      </c>
      <c r="S2" s="131" t="s">
        <v>509</v>
      </c>
      <c r="T2" s="131" t="s">
        <v>512</v>
      </c>
      <c r="U2" s="131" t="s">
        <v>511</v>
      </c>
      <c r="V2" s="131" t="s">
        <v>689</v>
      </c>
      <c r="W2" s="75" t="s">
        <v>452</v>
      </c>
    </row>
    <row r="3" spans="1:23">
      <c r="A3" s="75">
        <v>2012</v>
      </c>
      <c r="B3" s="83">
        <v>26553</v>
      </c>
      <c r="C3" s="83">
        <v>12956</v>
      </c>
      <c r="D3" s="75">
        <v>8.1</v>
      </c>
      <c r="E3" s="72">
        <f>B3*$C$3*(D3/100)</f>
        <v>27865674.107999999</v>
      </c>
      <c r="F3" s="72">
        <f>E3*$B$33/3600</f>
        <v>346772.83334399998</v>
      </c>
      <c r="G3" s="72">
        <f>$B$32*F3</f>
        <v>88080.299669375992</v>
      </c>
      <c r="H3" s="130"/>
      <c r="I3" s="75">
        <v>2012</v>
      </c>
      <c r="J3" s="83">
        <v>26553</v>
      </c>
      <c r="K3" s="83">
        <v>12956</v>
      </c>
      <c r="L3" s="75">
        <v>8.1</v>
      </c>
      <c r="M3" s="72">
        <v>27865674.107999999</v>
      </c>
      <c r="N3" s="72">
        <f>M3*$B$33/3600</f>
        <v>346772.83334399998</v>
      </c>
      <c r="O3" s="72">
        <f>$B$32*N3</f>
        <v>88080.299669375992</v>
      </c>
      <c r="P3" s="130"/>
      <c r="Q3" s="75">
        <v>2012</v>
      </c>
      <c r="R3" s="83">
        <v>26553</v>
      </c>
      <c r="S3" s="83">
        <v>12956</v>
      </c>
      <c r="T3" s="75">
        <v>8.1</v>
      </c>
      <c r="U3" s="72">
        <v>27865674.107999999</v>
      </c>
      <c r="V3" s="72">
        <f>U3*$B$33/3600</f>
        <v>346772.83334399998</v>
      </c>
      <c r="W3" s="72">
        <f>$B$32*V3</f>
        <v>88080.299669375992</v>
      </c>
    </row>
    <row r="4" spans="1:23">
      <c r="A4" s="75">
        <v>2014</v>
      </c>
      <c r="B4" s="83">
        <v>33001</v>
      </c>
      <c r="C4" s="83">
        <v>12956</v>
      </c>
      <c r="D4" s="75">
        <v>7.7</v>
      </c>
      <c r="E4" s="72">
        <f>B4*$C$3*(D4/100)</f>
        <v>32922193.612</v>
      </c>
      <c r="F4" s="72">
        <f>E4*$B$33/3600</f>
        <v>409698.40939377778</v>
      </c>
      <c r="G4" s="72">
        <f>$B$32*F4</f>
        <v>104063.39598601956</v>
      </c>
      <c r="H4" s="130"/>
      <c r="I4" s="75">
        <v>2014</v>
      </c>
      <c r="J4" s="83">
        <v>33001</v>
      </c>
      <c r="K4" s="83">
        <v>12956</v>
      </c>
      <c r="L4" s="75">
        <v>7.7</v>
      </c>
      <c r="M4" s="72">
        <v>32922193.612</v>
      </c>
      <c r="N4" s="72">
        <f>M4*$B$33/3600</f>
        <v>409698.40939377778</v>
      </c>
      <c r="O4" s="72">
        <f>$B$32*N4</f>
        <v>104063.39598601956</v>
      </c>
      <c r="P4" s="130"/>
      <c r="Q4" s="75">
        <v>2014</v>
      </c>
      <c r="R4" s="83">
        <v>33001</v>
      </c>
      <c r="S4" s="83">
        <v>12956</v>
      </c>
      <c r="T4" s="75">
        <v>7.7</v>
      </c>
      <c r="U4" s="72">
        <v>32922193.612</v>
      </c>
      <c r="V4" s="72">
        <f>U4*$B$33/3600</f>
        <v>409698.40939377778</v>
      </c>
      <c r="W4" s="72">
        <f>$B$32*V4</f>
        <v>104063.39598601956</v>
      </c>
    </row>
    <row r="5" spans="1:23">
      <c r="A5" s="75">
        <v>2020</v>
      </c>
      <c r="B5" s="83">
        <v>50000</v>
      </c>
      <c r="C5" s="83">
        <v>12956</v>
      </c>
      <c r="D5" s="75">
        <v>7.3</v>
      </c>
      <c r="E5" s="72">
        <f>B5*$C$3*(D5/100)</f>
        <v>47289400</v>
      </c>
      <c r="F5" s="72">
        <f>E5*$B$33/3600</f>
        <v>588490.31111111108</v>
      </c>
      <c r="G5" s="72">
        <f>$B$32*F5</f>
        <v>149476.53902222222</v>
      </c>
      <c r="H5" s="130"/>
      <c r="I5" s="75">
        <v>2020</v>
      </c>
      <c r="J5" s="83">
        <v>45000</v>
      </c>
      <c r="K5" s="83">
        <v>12956</v>
      </c>
      <c r="L5" s="75">
        <v>7.3</v>
      </c>
      <c r="M5" s="72">
        <v>42560460</v>
      </c>
      <c r="N5" s="72">
        <f>M5*$B$33/3600</f>
        <v>529641.27999999991</v>
      </c>
      <c r="O5" s="72">
        <f>$B$32*N5</f>
        <v>134528.88511999999</v>
      </c>
      <c r="P5" s="130"/>
      <c r="Q5" s="75">
        <v>2020</v>
      </c>
      <c r="R5" s="83">
        <v>40000</v>
      </c>
      <c r="S5" s="83">
        <v>12956</v>
      </c>
      <c r="T5" s="75">
        <v>7.3</v>
      </c>
      <c r="U5" s="72">
        <v>37831520</v>
      </c>
      <c r="V5" s="72">
        <f>U5*$B$33/3600</f>
        <v>470792.24888888886</v>
      </c>
      <c r="W5" s="72">
        <f>$B$32*V5</f>
        <v>119581.23121777778</v>
      </c>
    </row>
    <row r="6" spans="1:23" ht="16.5" thickBot="1">
      <c r="A6" s="130"/>
      <c r="B6" s="130"/>
      <c r="C6" s="130"/>
      <c r="D6" s="130"/>
      <c r="E6" s="130"/>
      <c r="F6" s="130"/>
      <c r="G6" s="130"/>
      <c r="H6" s="130"/>
      <c r="I6" s="130"/>
      <c r="J6" s="130"/>
      <c r="K6" s="130"/>
      <c r="L6" s="132"/>
      <c r="M6" s="132"/>
      <c r="N6" s="132"/>
      <c r="O6" s="130"/>
      <c r="P6" s="130"/>
      <c r="Q6" s="130"/>
      <c r="R6" s="130"/>
      <c r="S6" s="130"/>
      <c r="T6" s="130"/>
      <c r="U6" s="130"/>
      <c r="V6" s="130"/>
      <c r="W6" s="130"/>
    </row>
    <row r="7" spans="1:23" ht="17.25" thickTop="1" thickBot="1">
      <c r="A7" s="375" t="s">
        <v>331</v>
      </c>
      <c r="B7" s="376"/>
      <c r="C7" s="376"/>
      <c r="D7" s="376"/>
      <c r="E7" s="376"/>
      <c r="F7" s="376"/>
      <c r="G7" s="376"/>
      <c r="H7" s="376"/>
      <c r="I7" s="376"/>
      <c r="J7" s="376"/>
      <c r="K7" s="376"/>
      <c r="L7" s="376"/>
      <c r="M7" s="376"/>
      <c r="N7" s="376"/>
      <c r="O7" s="376"/>
      <c r="P7" s="377"/>
      <c r="Q7" s="130"/>
      <c r="R7" s="130"/>
      <c r="S7" s="130"/>
      <c r="T7" s="130"/>
      <c r="U7" s="130"/>
      <c r="V7" s="130"/>
      <c r="W7" s="130"/>
    </row>
    <row r="8" spans="1:23" ht="16.5" thickTop="1">
      <c r="A8" s="373" t="s">
        <v>495</v>
      </c>
      <c r="B8" s="374" t="s">
        <v>496</v>
      </c>
      <c r="C8" s="374" t="s">
        <v>508</v>
      </c>
      <c r="D8" s="373" t="s">
        <v>507</v>
      </c>
      <c r="E8" s="374" t="s">
        <v>506</v>
      </c>
      <c r="F8" s="373" t="s">
        <v>498</v>
      </c>
      <c r="G8" s="373" t="s">
        <v>501</v>
      </c>
      <c r="H8" s="374" t="s">
        <v>503</v>
      </c>
      <c r="I8" s="374"/>
      <c r="J8" s="374" t="s">
        <v>502</v>
      </c>
      <c r="K8" s="373" t="s">
        <v>504</v>
      </c>
      <c r="L8" s="132"/>
      <c r="M8" s="132"/>
      <c r="N8" s="132"/>
      <c r="O8" s="130"/>
      <c r="P8" s="130"/>
      <c r="Q8" s="130"/>
      <c r="R8" s="130"/>
      <c r="S8" s="130"/>
      <c r="T8" s="130"/>
      <c r="U8" s="130"/>
      <c r="V8" s="130"/>
      <c r="W8" s="130"/>
    </row>
    <row r="9" spans="1:23">
      <c r="A9" s="373"/>
      <c r="B9" s="374"/>
      <c r="C9" s="374"/>
      <c r="D9" s="373"/>
      <c r="E9" s="374"/>
      <c r="F9" s="373"/>
      <c r="G9" s="373"/>
      <c r="H9" s="131" t="s">
        <v>329</v>
      </c>
      <c r="I9" s="131" t="s">
        <v>330</v>
      </c>
      <c r="J9" s="374"/>
      <c r="K9" s="373"/>
      <c r="L9" s="132"/>
      <c r="M9" s="132"/>
      <c r="N9" s="132"/>
      <c r="O9" s="130"/>
      <c r="P9" s="130"/>
      <c r="Q9" s="130"/>
      <c r="R9" s="130"/>
      <c r="S9" s="130"/>
      <c r="T9" s="130"/>
      <c r="U9" s="130"/>
      <c r="V9" s="130"/>
      <c r="W9" s="130"/>
    </row>
    <row r="10" spans="1:23">
      <c r="A10" s="75">
        <v>91410</v>
      </c>
      <c r="B10" s="75">
        <v>8</v>
      </c>
      <c r="C10" s="75">
        <v>8.6999999999999993</v>
      </c>
      <c r="D10" s="75">
        <v>27154</v>
      </c>
      <c r="E10" s="75">
        <v>45</v>
      </c>
      <c r="F10" s="75">
        <v>15417</v>
      </c>
      <c r="G10" s="75">
        <v>2787</v>
      </c>
      <c r="H10" s="75">
        <v>1658</v>
      </c>
      <c r="I10" s="75">
        <v>7093</v>
      </c>
      <c r="J10" s="75">
        <v>152</v>
      </c>
      <c r="K10" s="75">
        <v>2</v>
      </c>
      <c r="L10" s="132"/>
      <c r="M10" s="132"/>
      <c r="N10" s="132"/>
      <c r="O10" s="130"/>
      <c r="P10" s="130"/>
      <c r="Q10" s="130"/>
      <c r="R10" s="130"/>
      <c r="S10" s="130"/>
      <c r="T10" s="130"/>
      <c r="U10" s="130"/>
      <c r="V10" s="130"/>
      <c r="W10" s="130"/>
    </row>
    <row r="11" spans="1:23">
      <c r="A11" s="75">
        <v>91409</v>
      </c>
      <c r="B11" s="75">
        <v>8</v>
      </c>
      <c r="C11" s="75">
        <v>5.3</v>
      </c>
      <c r="D11" s="75">
        <v>25819</v>
      </c>
      <c r="E11" s="75">
        <v>49</v>
      </c>
      <c r="F11" s="75">
        <v>14682</v>
      </c>
      <c r="G11" s="75">
        <v>2478</v>
      </c>
      <c r="H11" s="75">
        <v>1549</v>
      </c>
      <c r="I11" s="75">
        <v>6926</v>
      </c>
      <c r="J11" s="75">
        <v>132</v>
      </c>
      <c r="K11" s="75">
        <v>3</v>
      </c>
      <c r="L11" s="132"/>
      <c r="M11" s="132"/>
      <c r="N11" s="132"/>
      <c r="O11" s="130"/>
      <c r="P11" s="130"/>
      <c r="Q11" s="130"/>
      <c r="R11" s="130"/>
      <c r="S11" s="130"/>
      <c r="T11" s="130"/>
      <c r="U11" s="130"/>
      <c r="V11" s="130"/>
      <c r="W11" s="130"/>
    </row>
    <row r="12" spans="1:23">
      <c r="A12" s="75">
        <v>91408</v>
      </c>
      <c r="B12" s="75">
        <v>8</v>
      </c>
      <c r="C12" s="75">
        <v>14.6</v>
      </c>
      <c r="D12" s="75">
        <v>30177</v>
      </c>
      <c r="E12" s="75">
        <v>73</v>
      </c>
      <c r="F12" s="75">
        <v>18331</v>
      </c>
      <c r="G12" s="75">
        <v>2754</v>
      </c>
      <c r="H12" s="75">
        <v>1766</v>
      </c>
      <c r="I12" s="75">
        <v>7050</v>
      </c>
      <c r="J12" s="75">
        <v>200</v>
      </c>
      <c r="K12" s="75">
        <v>3</v>
      </c>
      <c r="L12" s="132"/>
      <c r="M12" s="132"/>
      <c r="N12" s="132"/>
      <c r="O12" s="130"/>
      <c r="P12" s="130"/>
      <c r="Q12" s="130"/>
      <c r="R12" s="130"/>
      <c r="S12" s="130"/>
      <c r="T12" s="130"/>
      <c r="U12" s="130"/>
      <c r="V12" s="130"/>
      <c r="W12" s="130"/>
    </row>
    <row r="13" spans="1:23" ht="16.5" customHeight="1">
      <c r="A13" s="132"/>
      <c r="B13" s="132"/>
      <c r="C13" s="130"/>
      <c r="D13" s="130"/>
      <c r="E13" s="130"/>
      <c r="F13" s="130"/>
      <c r="G13" s="130"/>
      <c r="H13" s="130"/>
      <c r="I13" s="130"/>
      <c r="J13" s="130"/>
      <c r="K13" s="130"/>
      <c r="L13" s="132"/>
      <c r="M13" s="132"/>
      <c r="N13" s="132"/>
      <c r="O13" s="130"/>
      <c r="P13" s="130"/>
      <c r="Q13" s="133"/>
      <c r="R13" s="130"/>
      <c r="S13" s="130"/>
      <c r="T13" s="130"/>
      <c r="U13" s="130"/>
      <c r="V13" s="130"/>
      <c r="W13" s="130"/>
    </row>
    <row r="14" spans="1:23" ht="63" customHeight="1">
      <c r="A14" s="374" t="s">
        <v>493</v>
      </c>
      <c r="B14" s="373" t="s">
        <v>505</v>
      </c>
      <c r="C14" s="373"/>
      <c r="D14" s="373"/>
      <c r="E14" s="373"/>
      <c r="F14" s="373"/>
      <c r="G14" s="373"/>
      <c r="H14" s="373"/>
      <c r="I14" s="130"/>
      <c r="J14" s="130"/>
      <c r="K14" s="130"/>
      <c r="L14" s="132"/>
      <c r="M14" s="132"/>
      <c r="N14" s="132"/>
      <c r="O14" s="130"/>
      <c r="P14" s="130"/>
      <c r="Q14" s="133"/>
      <c r="R14" s="130"/>
      <c r="S14" s="130"/>
      <c r="T14" s="130"/>
      <c r="U14" s="130"/>
      <c r="V14" s="130"/>
      <c r="W14" s="130"/>
    </row>
    <row r="15" spans="1:23" ht="63" customHeight="1">
      <c r="A15" s="374"/>
      <c r="B15" s="374" t="s">
        <v>506</v>
      </c>
      <c r="C15" s="373" t="s">
        <v>498</v>
      </c>
      <c r="D15" s="373" t="s">
        <v>501</v>
      </c>
      <c r="E15" s="374" t="s">
        <v>503</v>
      </c>
      <c r="F15" s="374"/>
      <c r="G15" s="374" t="s">
        <v>502</v>
      </c>
      <c r="H15" s="373" t="s">
        <v>504</v>
      </c>
      <c r="I15" s="130"/>
      <c r="J15" s="130"/>
      <c r="K15" s="130"/>
      <c r="L15" s="132"/>
      <c r="M15" s="132"/>
      <c r="N15" s="132"/>
      <c r="O15" s="130"/>
      <c r="P15" s="130"/>
      <c r="Q15" s="133"/>
      <c r="R15" s="130"/>
      <c r="S15" s="130"/>
      <c r="T15" s="130"/>
      <c r="U15" s="130"/>
      <c r="V15" s="130"/>
      <c r="W15" s="130"/>
    </row>
    <row r="16" spans="1:23" ht="63" customHeight="1">
      <c r="A16" s="374"/>
      <c r="B16" s="374"/>
      <c r="C16" s="373"/>
      <c r="D16" s="373"/>
      <c r="E16" s="131" t="s">
        <v>329</v>
      </c>
      <c r="F16" s="131" t="s">
        <v>330</v>
      </c>
      <c r="G16" s="374"/>
      <c r="H16" s="373"/>
      <c r="I16" s="130"/>
      <c r="J16" s="130"/>
      <c r="K16" s="130"/>
      <c r="L16" s="132"/>
      <c r="M16" s="132"/>
      <c r="N16" s="132"/>
      <c r="O16" s="130"/>
      <c r="P16" s="130"/>
      <c r="Q16" s="133"/>
      <c r="R16" s="130"/>
      <c r="S16" s="130"/>
      <c r="T16" s="130"/>
      <c r="U16" s="130"/>
      <c r="V16" s="130"/>
      <c r="W16" s="130"/>
    </row>
    <row r="17" spans="1:23">
      <c r="A17" s="75">
        <v>2010</v>
      </c>
      <c r="B17" s="75">
        <v>5</v>
      </c>
      <c r="C17" s="75">
        <v>10</v>
      </c>
      <c r="D17" s="75">
        <v>10.5</v>
      </c>
      <c r="E17" s="75">
        <v>10.5</v>
      </c>
      <c r="F17" s="75">
        <v>24.8</v>
      </c>
      <c r="G17" s="75">
        <v>10.5</v>
      </c>
      <c r="H17" s="75">
        <v>10.5</v>
      </c>
      <c r="I17" s="130"/>
      <c r="J17" s="130"/>
      <c r="K17" s="130"/>
      <c r="L17" s="132"/>
      <c r="M17" s="132"/>
      <c r="N17" s="132"/>
      <c r="O17" s="130"/>
      <c r="P17" s="130"/>
      <c r="Q17" s="133"/>
      <c r="R17" s="130"/>
      <c r="S17" s="130"/>
      <c r="T17" s="130"/>
      <c r="U17" s="130"/>
      <c r="V17" s="130"/>
      <c r="W17" s="130"/>
    </row>
    <row r="18" spans="1:23">
      <c r="A18" s="75">
        <v>2015</v>
      </c>
      <c r="B18" s="75">
        <v>4.8</v>
      </c>
      <c r="C18" s="75">
        <v>9.6999999999999993</v>
      </c>
      <c r="D18" s="75">
        <v>9.6</v>
      </c>
      <c r="E18" s="75">
        <v>9.6</v>
      </c>
      <c r="F18" s="75">
        <v>25</v>
      </c>
      <c r="G18" s="75">
        <v>9.6</v>
      </c>
      <c r="H18" s="75">
        <v>9.6</v>
      </c>
      <c r="I18" s="130"/>
      <c r="J18" s="130"/>
      <c r="K18" s="130"/>
      <c r="L18" s="132"/>
      <c r="M18" s="132"/>
      <c r="N18" s="132"/>
      <c r="O18" s="130"/>
      <c r="P18" s="130"/>
      <c r="Q18" s="130"/>
      <c r="R18" s="130"/>
      <c r="S18" s="130"/>
      <c r="T18" s="130"/>
      <c r="U18" s="130"/>
      <c r="V18" s="130"/>
      <c r="W18" s="130"/>
    </row>
    <row r="19" spans="1:23">
      <c r="A19" s="75">
        <v>2020</v>
      </c>
      <c r="B19" s="75">
        <v>4.5999999999999996</v>
      </c>
      <c r="C19" s="75">
        <v>9.1999999999999993</v>
      </c>
      <c r="D19" s="75">
        <v>8.8000000000000007</v>
      </c>
      <c r="E19" s="75">
        <v>8.8000000000000007</v>
      </c>
      <c r="F19" s="75">
        <v>25.1</v>
      </c>
      <c r="G19" s="75">
        <v>8.8000000000000007</v>
      </c>
      <c r="H19" s="75">
        <v>8.8000000000000007</v>
      </c>
      <c r="I19" s="132"/>
      <c r="J19" s="132"/>
      <c r="K19" s="132"/>
      <c r="L19" s="132"/>
      <c r="M19" s="130"/>
      <c r="N19" s="132"/>
      <c r="O19" s="130"/>
      <c r="P19" s="130"/>
      <c r="Q19" s="130"/>
      <c r="R19" s="130"/>
      <c r="S19" s="130"/>
      <c r="T19" s="130"/>
      <c r="U19" s="130"/>
      <c r="V19" s="130"/>
      <c r="W19" s="130"/>
    </row>
    <row r="20" spans="1:23">
      <c r="A20" s="130"/>
      <c r="B20" s="130"/>
      <c r="C20" s="130"/>
      <c r="D20" s="130"/>
      <c r="E20" s="130"/>
      <c r="F20" s="130"/>
      <c r="G20" s="132"/>
      <c r="H20" s="132"/>
      <c r="I20" s="132"/>
      <c r="J20" s="132"/>
      <c r="K20" s="132"/>
      <c r="L20" s="132"/>
      <c r="M20" s="130"/>
      <c r="N20" s="132"/>
      <c r="O20" s="130"/>
      <c r="P20" s="130"/>
      <c r="Q20" s="130"/>
      <c r="R20" s="130"/>
      <c r="S20" s="130"/>
      <c r="T20" s="130"/>
      <c r="U20" s="130"/>
      <c r="V20" s="130"/>
      <c r="W20" s="130"/>
    </row>
    <row r="21" spans="1:23" ht="52.5" customHeight="1">
      <c r="A21" s="72" t="s">
        <v>494</v>
      </c>
      <c r="B21" s="76" t="s">
        <v>495</v>
      </c>
      <c r="C21" s="76" t="s">
        <v>689</v>
      </c>
      <c r="D21" s="76" t="s">
        <v>497</v>
      </c>
      <c r="E21" s="76" t="s">
        <v>664</v>
      </c>
      <c r="F21" s="130"/>
      <c r="G21" s="374" t="s">
        <v>513</v>
      </c>
      <c r="H21" s="374"/>
      <c r="I21" s="374"/>
      <c r="J21" s="374"/>
      <c r="K21" s="374"/>
      <c r="L21" s="374"/>
      <c r="M21" s="374"/>
      <c r="N21" s="374"/>
      <c r="O21" s="374"/>
      <c r="P21" s="373" t="s">
        <v>499</v>
      </c>
      <c r="Q21" s="130"/>
      <c r="R21" s="130"/>
      <c r="S21" s="130"/>
      <c r="T21" s="130"/>
      <c r="U21" s="130"/>
      <c r="V21" s="130"/>
      <c r="W21" s="130"/>
    </row>
    <row r="22" spans="1:23" ht="31.5" customHeight="1">
      <c r="A22" s="374">
        <v>2010</v>
      </c>
      <c r="B22" s="75">
        <v>91410</v>
      </c>
      <c r="C22" s="72">
        <f>$P$24*$B$33/3600</f>
        <v>149609.02792266663</v>
      </c>
      <c r="D22" s="72">
        <f>C22*0.254</f>
        <v>38000.693092357324</v>
      </c>
      <c r="E22" s="317">
        <f>SUM(D22:D24)</f>
        <v>128911.50428908263</v>
      </c>
      <c r="F22" s="130"/>
      <c r="G22" s="374" t="s">
        <v>493</v>
      </c>
      <c r="H22" s="373" t="s">
        <v>495</v>
      </c>
      <c r="I22" s="374" t="s">
        <v>328</v>
      </c>
      <c r="J22" s="373" t="s">
        <v>498</v>
      </c>
      <c r="K22" s="373" t="s">
        <v>501</v>
      </c>
      <c r="L22" s="374" t="s">
        <v>503</v>
      </c>
      <c r="M22" s="374"/>
      <c r="N22" s="374" t="s">
        <v>502</v>
      </c>
      <c r="O22" s="373" t="s">
        <v>504</v>
      </c>
      <c r="P22" s="373"/>
      <c r="Q22" s="130"/>
      <c r="R22" s="130"/>
      <c r="S22" s="130"/>
      <c r="T22" s="130"/>
      <c r="U22" s="130"/>
      <c r="V22" s="130"/>
      <c r="W22" s="130"/>
    </row>
    <row r="23" spans="1:23">
      <c r="A23" s="374"/>
      <c r="B23" s="75">
        <v>91409</v>
      </c>
      <c r="C23" s="72">
        <f>$P$27*$B$33/3600</f>
        <v>87274.859167999995</v>
      </c>
      <c r="D23" s="72">
        <f t="shared" ref="D23:D30" si="0">C23*0.254</f>
        <v>22167.814228671999</v>
      </c>
      <c r="E23" s="317"/>
      <c r="F23" s="130"/>
      <c r="G23" s="374"/>
      <c r="H23" s="373"/>
      <c r="I23" s="374"/>
      <c r="J23" s="373"/>
      <c r="K23" s="373"/>
      <c r="L23" s="131" t="s">
        <v>329</v>
      </c>
      <c r="M23" s="131" t="s">
        <v>330</v>
      </c>
      <c r="N23" s="374"/>
      <c r="O23" s="373"/>
      <c r="P23" s="373"/>
      <c r="Q23" s="130"/>
      <c r="R23" s="130"/>
      <c r="S23" s="130"/>
      <c r="T23" s="130"/>
      <c r="U23" s="130"/>
      <c r="V23" s="130"/>
      <c r="W23" s="130"/>
    </row>
    <row r="24" spans="1:23">
      <c r="A24" s="374"/>
      <c r="B24" s="75">
        <v>91408</v>
      </c>
      <c r="C24" s="72">
        <f>$P$30*$B$33/3600</f>
        <v>270641.72034666658</v>
      </c>
      <c r="D24" s="72">
        <f t="shared" si="0"/>
        <v>68742.99696805331</v>
      </c>
      <c r="E24" s="317"/>
      <c r="F24" s="130"/>
      <c r="G24" s="75">
        <v>2010</v>
      </c>
      <c r="H24" s="374">
        <v>91410</v>
      </c>
      <c r="I24" s="72">
        <f>$E$10*$C$10*((1*B17)/100)</f>
        <v>19.574999999999999</v>
      </c>
      <c r="J24" s="72">
        <f>$F$10*$C$10*((1*C17)/100)</f>
        <v>13412.79</v>
      </c>
      <c r="K24" s="72">
        <f>$G$10*$C$10*((1*D17)/100)</f>
        <v>2545.9244999999996</v>
      </c>
      <c r="L24" s="72">
        <f>$H$10*$C$10*((1*E17)/100)</f>
        <v>1514.5829999999999</v>
      </c>
      <c r="M24" s="72">
        <f>$I$10*$C$10*((1*F17)/100)</f>
        <v>15303.8568</v>
      </c>
      <c r="N24" s="72">
        <f>$J$10*$C$10*((1*G17)/100)</f>
        <v>138.85199999999998</v>
      </c>
      <c r="O24" s="72">
        <f>$K$10*$C$10*((1*H17)/100)</f>
        <v>1.8269999999999997</v>
      </c>
      <c r="P24" s="72">
        <f t="shared" ref="P24:P32" si="1">SUM(I24:O24)*365</f>
        <v>12022154.029499998</v>
      </c>
      <c r="Q24" s="130"/>
      <c r="R24" s="130"/>
      <c r="S24" s="130"/>
      <c r="T24" s="130"/>
      <c r="U24" s="130"/>
      <c r="V24" s="130"/>
      <c r="W24" s="130"/>
    </row>
    <row r="25" spans="1:23">
      <c r="A25" s="374">
        <v>2014</v>
      </c>
      <c r="B25" s="75">
        <v>91410</v>
      </c>
      <c r="C25" s="72">
        <f>$P$25*$B$33/3600</f>
        <v>146702.6861253333</v>
      </c>
      <c r="D25" s="72">
        <f t="shared" si="0"/>
        <v>37262.482275834656</v>
      </c>
      <c r="E25" s="317">
        <f>SUM(D25:D27)</f>
        <v>126351.73955611196</v>
      </c>
      <c r="F25" s="130"/>
      <c r="G25" s="75">
        <v>2014</v>
      </c>
      <c r="H25" s="374"/>
      <c r="I25" s="72">
        <f>$E$10*$C$10*((1*B18)/100)</f>
        <v>18.791999999999998</v>
      </c>
      <c r="J25" s="72">
        <f>$F$10*$C$10*((1*C18)/100)</f>
        <v>13010.406299999999</v>
      </c>
      <c r="K25" s="72">
        <f>$G$10*$C$10*((1*D18)/100)</f>
        <v>2327.7023999999997</v>
      </c>
      <c r="L25" s="72">
        <f>$H$10*$C$10*((1*E18)/100)</f>
        <v>1384.7615999999998</v>
      </c>
      <c r="M25" s="72">
        <f>$I$10*$C$10*((1*F18)/100)</f>
        <v>15427.275</v>
      </c>
      <c r="N25" s="72">
        <f>$J$10*$C$10*((1*G18)/100)</f>
        <v>126.95039999999999</v>
      </c>
      <c r="O25" s="72">
        <f>$K$10*$C$10*((1*H18)/100)</f>
        <v>1.6703999999999999</v>
      </c>
      <c r="P25" s="72">
        <f t="shared" si="1"/>
        <v>11788608.706499999</v>
      </c>
      <c r="Q25" s="130"/>
      <c r="R25" s="130"/>
      <c r="S25" s="130"/>
      <c r="T25" s="130"/>
      <c r="U25" s="130"/>
      <c r="V25" s="130"/>
      <c r="W25" s="130"/>
    </row>
    <row r="26" spans="1:23">
      <c r="A26" s="374"/>
      <c r="B26" s="75">
        <v>91409</v>
      </c>
      <c r="C26" s="72">
        <f>$P$28*$B$33/3600</f>
        <v>85643.860723555525</v>
      </c>
      <c r="D26" s="72">
        <f t="shared" si="0"/>
        <v>21753.540623783105</v>
      </c>
      <c r="E26" s="317"/>
      <c r="F26" s="130"/>
      <c r="G26" s="75">
        <v>2020</v>
      </c>
      <c r="H26" s="374"/>
      <c r="I26" s="72">
        <f>$E$10*$C$10*((1*B19)/100)</f>
        <v>18.008999999999997</v>
      </c>
      <c r="J26" s="72">
        <f>$F$10*$C$10*((1*C19)/100)</f>
        <v>12339.766799999999</v>
      </c>
      <c r="K26" s="72">
        <f>$G$10*$C$10*((1*D19)/100)</f>
        <v>2133.7271999999998</v>
      </c>
      <c r="L26" s="72">
        <f>$H$10*$C$10*((1*E19)/100)</f>
        <v>1269.3648000000001</v>
      </c>
      <c r="M26" s="72">
        <f>$I$10*$C$10*((1*F19)/100)</f>
        <v>15488.9841</v>
      </c>
      <c r="N26" s="72">
        <f>$J$10*$C$10*((1*G19)/100)</f>
        <v>116.3712</v>
      </c>
      <c r="O26" s="72">
        <f>$K$10*$C$10*((1*H19)/100)</f>
        <v>1.5312000000000001</v>
      </c>
      <c r="P26" s="72">
        <f t="shared" si="1"/>
        <v>11449230.319499999</v>
      </c>
      <c r="Q26" s="130"/>
      <c r="R26" s="130"/>
      <c r="S26" s="130"/>
      <c r="T26" s="130"/>
      <c r="U26" s="130"/>
      <c r="V26" s="130"/>
      <c r="W26" s="130"/>
    </row>
    <row r="27" spans="1:23">
      <c r="A27" s="374"/>
      <c r="B27" s="75">
        <v>91408</v>
      </c>
      <c r="C27" s="72">
        <f>$P$31*$B$33/3600</f>
        <v>265101.24667911103</v>
      </c>
      <c r="D27" s="72">
        <f t="shared" si="0"/>
        <v>67335.716656494202</v>
      </c>
      <c r="E27" s="317"/>
      <c r="F27" s="130"/>
      <c r="G27" s="75">
        <v>2010</v>
      </c>
      <c r="H27" s="374">
        <v>91409</v>
      </c>
      <c r="I27" s="72">
        <f>$E$11*$C$11*((1*B17)/100)</f>
        <v>12.984999999999999</v>
      </c>
      <c r="J27" s="72">
        <f>$F$11*$C$11*((1*C17)/100)</f>
        <v>7781.4599999999991</v>
      </c>
      <c r="K27" s="72">
        <f>$G$11*$C$11*((1*D17)/100)</f>
        <v>1379.0069999999998</v>
      </c>
      <c r="L27" s="72">
        <f>$H$11*$C$11*((1*E17)/100)</f>
        <v>862.0184999999999</v>
      </c>
      <c r="M27" s="72">
        <f>$I$11*$C$11*((1*F17)/100)</f>
        <v>9103.5343999999986</v>
      </c>
      <c r="N27" s="72">
        <f>$J$11*$C$11*((1*G17)/100)</f>
        <v>73.457999999999998</v>
      </c>
      <c r="O27" s="72">
        <f>$K$11*$C$11*((1*H17)/100)</f>
        <v>1.6694999999999998</v>
      </c>
      <c r="P27" s="72">
        <f t="shared" si="1"/>
        <v>7013158.3259999994</v>
      </c>
      <c r="Q27" s="130"/>
      <c r="R27" s="130"/>
      <c r="S27" s="130"/>
      <c r="T27" s="130"/>
      <c r="U27" s="130"/>
      <c r="V27" s="130"/>
      <c r="W27" s="130"/>
    </row>
    <row r="28" spans="1:23">
      <c r="A28" s="374">
        <v>2020</v>
      </c>
      <c r="B28" s="75">
        <v>91410</v>
      </c>
      <c r="C28" s="72">
        <f>$P$26*$B$33/3600</f>
        <v>142479.31064266665</v>
      </c>
      <c r="D28" s="72">
        <f t="shared" si="0"/>
        <v>36189.744903237326</v>
      </c>
      <c r="E28" s="317">
        <f>SUM(D28:D30)</f>
        <v>122604.24850410488</v>
      </c>
      <c r="F28" s="130"/>
      <c r="G28" s="75">
        <v>2014</v>
      </c>
      <c r="H28" s="374"/>
      <c r="I28" s="72">
        <f>$E$11*$C$11*((1*B18)/100)</f>
        <v>12.4656</v>
      </c>
      <c r="J28" s="72">
        <f>$F$11*$C$11*((1*C18)/100)</f>
        <v>7548.0161999999982</v>
      </c>
      <c r="K28" s="72">
        <f>$G$11*$C$11*((1*D18)/100)</f>
        <v>1260.8063999999999</v>
      </c>
      <c r="L28" s="72">
        <f>$H$11*$C$11*((1*E18)/100)</f>
        <v>788.13119999999992</v>
      </c>
      <c r="M28" s="72">
        <f>$I$11*$C$11*((1*F18)/100)</f>
        <v>9176.9499999999989</v>
      </c>
      <c r="N28" s="72">
        <f>$J$11*$C$11*((1*G18)/100)</f>
        <v>67.161600000000007</v>
      </c>
      <c r="O28" s="72">
        <f>$K$11*$C$11*((1*H18)/100)</f>
        <v>1.5264</v>
      </c>
      <c r="P28" s="72">
        <f t="shared" si="1"/>
        <v>6882095.9509999976</v>
      </c>
      <c r="Q28" s="130"/>
      <c r="R28" s="130"/>
      <c r="S28" s="130"/>
      <c r="T28" s="130"/>
      <c r="U28" s="130"/>
      <c r="V28" s="130"/>
      <c r="W28" s="130"/>
    </row>
    <row r="29" spans="1:23" ht="16.5" customHeight="1">
      <c r="A29" s="374"/>
      <c r="B29" s="75">
        <v>91409</v>
      </c>
      <c r="C29" s="72">
        <f>$P$29*$B$33/3600</f>
        <v>83239.419946666647</v>
      </c>
      <c r="D29" s="72">
        <f t="shared" si="0"/>
        <v>21142.81266645333</v>
      </c>
      <c r="E29" s="317"/>
      <c r="F29" s="132"/>
      <c r="G29" s="75">
        <v>2020</v>
      </c>
      <c r="H29" s="374"/>
      <c r="I29" s="72">
        <f>$E$11*$C$11*((1*B19)/100)</f>
        <v>11.946199999999999</v>
      </c>
      <c r="J29" s="72">
        <f>$F$11*$C$11*((1*C19)/100)</f>
        <v>7158.9431999999988</v>
      </c>
      <c r="K29" s="72">
        <f>$G$11*$C$11*((1*D19)/100)</f>
        <v>1155.7392</v>
      </c>
      <c r="L29" s="72">
        <f>$H$11*$C$11*((1*E19)/100)</f>
        <v>722.45359999999994</v>
      </c>
      <c r="M29" s="72">
        <f>$I$11*$C$11*((1*F19)/100)</f>
        <v>9213.657799999999</v>
      </c>
      <c r="N29" s="72">
        <f>$J$11*$C$11*((1*G19)/100)</f>
        <v>61.564800000000005</v>
      </c>
      <c r="O29" s="72">
        <f>$K$11*$C$11*((1*H19)/100)</f>
        <v>1.3992</v>
      </c>
      <c r="P29" s="72">
        <f t="shared" si="1"/>
        <v>6688881.959999999</v>
      </c>
      <c r="Q29" s="130"/>
      <c r="R29" s="130"/>
      <c r="S29" s="130"/>
      <c r="T29" s="130"/>
      <c r="U29" s="130"/>
      <c r="V29" s="130"/>
      <c r="W29" s="130"/>
    </row>
    <row r="30" spans="1:23">
      <c r="A30" s="374"/>
      <c r="B30" s="75">
        <v>91408</v>
      </c>
      <c r="C30" s="72">
        <f>$P$32*$B$33/3600</f>
        <v>256975.16115911107</v>
      </c>
      <c r="D30" s="72">
        <f t="shared" si="0"/>
        <v>65271.690934414211</v>
      </c>
      <c r="E30" s="317"/>
      <c r="F30" s="132"/>
      <c r="G30" s="75">
        <v>2010</v>
      </c>
      <c r="H30" s="373">
        <v>91408</v>
      </c>
      <c r="I30" s="72">
        <f>$E$12*$C$12*((1*B17)/100)</f>
        <v>53.29</v>
      </c>
      <c r="J30" s="72">
        <f>$F$12*$C$12*((1*C17)/100)</f>
        <v>26763.26</v>
      </c>
      <c r="K30" s="72">
        <f>$G$12*$C$12*((1*D17)/100)</f>
        <v>4221.8819999999996</v>
      </c>
      <c r="L30" s="72">
        <f>$H$12*$C$12*((1*E17)/100)</f>
        <v>2707.2779999999998</v>
      </c>
      <c r="M30" s="72">
        <f>$I$12*$C$12*((1*F17)/100)</f>
        <v>25526.639999999999</v>
      </c>
      <c r="N30" s="72">
        <f>$J$12*$C$12*((1*G17)/100)</f>
        <v>306.59999999999997</v>
      </c>
      <c r="O30" s="72">
        <f>$K$12*$C$12*((1*H17)/100)</f>
        <v>4.5989999999999993</v>
      </c>
      <c r="P30" s="72">
        <f t="shared" si="1"/>
        <v>21747995.384999998</v>
      </c>
      <c r="Q30" s="130"/>
      <c r="R30" s="130"/>
      <c r="S30" s="130"/>
      <c r="T30" s="130"/>
      <c r="U30" s="130"/>
      <c r="V30" s="130"/>
      <c r="W30" s="130"/>
    </row>
    <row r="31" spans="1:23">
      <c r="A31" s="132"/>
      <c r="B31" s="132"/>
      <c r="C31" s="132"/>
      <c r="D31" s="132"/>
      <c r="E31" s="132"/>
      <c r="F31" s="132"/>
      <c r="G31" s="75">
        <v>2014</v>
      </c>
      <c r="H31" s="373"/>
      <c r="I31" s="72">
        <f>$E$12*$C$12*((1*B18)/100)</f>
        <v>51.1584</v>
      </c>
      <c r="J31" s="72">
        <f>$F$12*$C$12*((1*C18)/100)</f>
        <v>25960.362199999996</v>
      </c>
      <c r="K31" s="72">
        <f>$G$12*$C$12*((1*D18)/100)</f>
        <v>3860.0064000000002</v>
      </c>
      <c r="L31" s="72">
        <f>$H$12*$C$12*((1*E18)/100)</f>
        <v>2475.2255999999998</v>
      </c>
      <c r="M31" s="72">
        <f>$I$12*$C$12*((1*F18)/100)</f>
        <v>25732.5</v>
      </c>
      <c r="N31" s="72">
        <f>$J$12*$C$12*((1*G18)/100)</f>
        <v>280.32</v>
      </c>
      <c r="O31" s="72">
        <f>$K$12*$C$12*((1*H18)/100)</f>
        <v>4.2047999999999996</v>
      </c>
      <c r="P31" s="72">
        <f t="shared" si="1"/>
        <v>21302778.750999998</v>
      </c>
      <c r="Q31" s="130"/>
      <c r="R31" s="130"/>
      <c r="S31" s="130"/>
      <c r="T31" s="130"/>
      <c r="U31" s="130"/>
      <c r="V31" s="130"/>
      <c r="W31" s="130"/>
    </row>
    <row r="32" spans="1:23">
      <c r="A32" s="75" t="s">
        <v>659</v>
      </c>
      <c r="B32" s="75">
        <v>0.254</v>
      </c>
      <c r="C32" s="132"/>
      <c r="D32" s="132"/>
      <c r="E32" s="132"/>
      <c r="F32" s="132"/>
      <c r="G32" s="75">
        <v>2020</v>
      </c>
      <c r="H32" s="373"/>
      <c r="I32" s="72">
        <f>$E$12*$C$12*((1*B19)/100)</f>
        <v>49.026799999999994</v>
      </c>
      <c r="J32" s="72">
        <f>$F$12*$C$12*((1*C19)/100)</f>
        <v>24622.199199999999</v>
      </c>
      <c r="K32" s="72">
        <f>$G$12*$C$12*((1*D19)/100)</f>
        <v>3538.3392000000003</v>
      </c>
      <c r="L32" s="72">
        <f>$H$12*$C$12*((1*E19)/100)</f>
        <v>2268.9567999999999</v>
      </c>
      <c r="M32" s="72">
        <f>$I$12*$C$12*((1*F19)/100)</f>
        <v>25835.43</v>
      </c>
      <c r="N32" s="72">
        <f>$J$12*$C$12*((1*G19)/100)</f>
        <v>256.96000000000004</v>
      </c>
      <c r="O32" s="72">
        <f>$K$12*$C$12*((1*H19)/100)</f>
        <v>3.8544</v>
      </c>
      <c r="P32" s="72">
        <f t="shared" si="1"/>
        <v>20649789.735999998</v>
      </c>
      <c r="Q32" s="130"/>
      <c r="R32" s="130"/>
      <c r="S32" s="130"/>
      <c r="T32" s="130"/>
      <c r="U32" s="130"/>
      <c r="V32" s="130"/>
      <c r="W32" s="130"/>
    </row>
    <row r="33" spans="1:23">
      <c r="A33" s="131" t="s">
        <v>500</v>
      </c>
      <c r="B33" s="75">
        <v>44.8</v>
      </c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0"/>
      <c r="P33" s="130"/>
      <c r="Q33" s="130"/>
      <c r="R33" s="130"/>
      <c r="S33" s="130"/>
      <c r="T33" s="130"/>
      <c r="U33" s="130"/>
      <c r="V33" s="130"/>
      <c r="W33" s="130"/>
    </row>
    <row r="34" spans="1:23">
      <c r="A34" s="75" t="s">
        <v>660</v>
      </c>
      <c r="B34" s="75">
        <v>0</v>
      </c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0"/>
      <c r="P34" s="130"/>
      <c r="Q34" s="130"/>
      <c r="R34" s="130"/>
      <c r="S34" s="130"/>
      <c r="T34" s="130"/>
      <c r="U34" s="130"/>
      <c r="V34" s="130"/>
      <c r="W34" s="130"/>
    </row>
    <row r="35" spans="1:23">
      <c r="A35" s="75" t="s">
        <v>661</v>
      </c>
      <c r="B35" s="75">
        <v>1</v>
      </c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0"/>
      <c r="P35" s="130"/>
      <c r="Q35" s="130"/>
      <c r="R35" s="130"/>
      <c r="S35" s="130"/>
      <c r="T35" s="130"/>
      <c r="U35" s="130"/>
      <c r="V35" s="130"/>
      <c r="W35" s="130"/>
    </row>
    <row r="36" spans="1:23">
      <c r="A36" s="132"/>
      <c r="B36" s="132"/>
      <c r="C36" s="130"/>
      <c r="D36" s="130"/>
      <c r="E36" s="130"/>
      <c r="F36" s="130"/>
      <c r="G36" s="130"/>
      <c r="H36" s="130"/>
      <c r="I36" s="130"/>
      <c r="J36" s="130"/>
      <c r="K36" s="130"/>
      <c r="L36" s="132"/>
      <c r="M36" s="130"/>
      <c r="N36" s="132"/>
      <c r="O36" s="130"/>
      <c r="P36" s="130"/>
      <c r="Q36" s="130"/>
      <c r="R36" s="130"/>
      <c r="S36" s="130"/>
      <c r="T36" s="130"/>
      <c r="U36" s="130"/>
      <c r="V36" s="130"/>
      <c r="W36" s="130"/>
    </row>
    <row r="37" spans="1:23">
      <c r="A37" s="378" t="s">
        <v>605</v>
      </c>
      <c r="B37" s="378"/>
      <c r="C37" s="378"/>
      <c r="D37" s="378"/>
      <c r="E37" s="378"/>
      <c r="F37" s="378"/>
      <c r="G37" s="378"/>
      <c r="H37" s="130"/>
      <c r="I37" s="130"/>
      <c r="J37" s="130"/>
      <c r="K37" s="130"/>
      <c r="L37" s="132"/>
      <c r="M37" s="130"/>
      <c r="N37" s="132"/>
      <c r="O37" s="130"/>
      <c r="P37" s="130"/>
      <c r="Q37" s="130"/>
      <c r="R37" s="130"/>
      <c r="S37" s="130"/>
      <c r="T37" s="130"/>
      <c r="U37" s="130"/>
      <c r="V37" s="130"/>
      <c r="W37" s="130"/>
    </row>
    <row r="38" spans="1:23" ht="78.75">
      <c r="A38" s="75" t="s">
        <v>493</v>
      </c>
      <c r="B38" s="131" t="s">
        <v>510</v>
      </c>
      <c r="C38" s="131" t="s">
        <v>509</v>
      </c>
      <c r="D38" s="131" t="s">
        <v>512</v>
      </c>
      <c r="E38" s="131" t="s">
        <v>511</v>
      </c>
      <c r="F38" s="131" t="s">
        <v>689</v>
      </c>
      <c r="G38" s="75" t="s">
        <v>604</v>
      </c>
      <c r="H38" s="130"/>
      <c r="I38" s="130"/>
      <c r="J38" s="130"/>
      <c r="K38" s="130"/>
      <c r="L38" s="132"/>
      <c r="M38" s="130"/>
      <c r="N38" s="132"/>
      <c r="O38" s="130"/>
      <c r="P38" s="130"/>
      <c r="Q38" s="130"/>
      <c r="R38" s="130"/>
      <c r="S38" s="130"/>
      <c r="T38" s="130"/>
      <c r="U38" s="130"/>
      <c r="V38" s="130"/>
      <c r="W38" s="130"/>
    </row>
    <row r="39" spans="1:23">
      <c r="A39" s="75">
        <v>2012</v>
      </c>
      <c r="B39" s="83">
        <v>26553</v>
      </c>
      <c r="C39" s="83">
        <v>12956</v>
      </c>
      <c r="D39" s="75">
        <v>8.1</v>
      </c>
      <c r="E39" s="72">
        <f>B39*$C$3*(D39/100)</f>
        <v>27865674.107999999</v>
      </c>
      <c r="F39" s="72">
        <f>E39*$B$33/3600</f>
        <v>346772.83334399998</v>
      </c>
      <c r="G39" s="72">
        <f>E39/1000</f>
        <v>27865.674107999999</v>
      </c>
      <c r="H39" s="130"/>
      <c r="I39" s="130"/>
      <c r="J39" s="130"/>
      <c r="K39" s="130"/>
      <c r="L39" s="132"/>
      <c r="M39" s="130"/>
      <c r="N39" s="132"/>
      <c r="O39" s="130"/>
      <c r="P39" s="130"/>
      <c r="Q39" s="130"/>
      <c r="R39" s="130"/>
      <c r="S39" s="130"/>
      <c r="T39" s="130"/>
      <c r="U39" s="130"/>
      <c r="V39" s="130"/>
      <c r="W39" s="130"/>
    </row>
    <row r="40" spans="1:23">
      <c r="A40" s="75">
        <v>2014</v>
      </c>
      <c r="B40" s="83">
        <v>33001</v>
      </c>
      <c r="C40" s="83">
        <v>12956</v>
      </c>
      <c r="D40" s="75">
        <v>7.7</v>
      </c>
      <c r="E40" s="72">
        <f>B40*$C$3*(D40/100)</f>
        <v>32922193.612</v>
      </c>
      <c r="F40" s="72">
        <f>E40*$B$33/3600</f>
        <v>409698.40939377778</v>
      </c>
      <c r="G40" s="72">
        <f>E40/1000</f>
        <v>32922.193612000003</v>
      </c>
      <c r="H40" s="130"/>
      <c r="I40" s="130"/>
      <c r="J40" s="130"/>
      <c r="K40" s="130"/>
      <c r="L40" s="132"/>
      <c r="M40" s="130"/>
      <c r="N40" s="132"/>
      <c r="O40" s="130"/>
      <c r="P40" s="130"/>
      <c r="Q40" s="130"/>
      <c r="R40" s="130"/>
      <c r="S40" s="130"/>
      <c r="T40" s="130"/>
      <c r="U40" s="130"/>
      <c r="V40" s="130"/>
      <c r="W40" s="130"/>
    </row>
    <row r="41" spans="1:23">
      <c r="A41" s="75">
        <v>2020</v>
      </c>
      <c r="B41" s="83">
        <v>50000</v>
      </c>
      <c r="C41" s="83">
        <v>12956</v>
      </c>
      <c r="D41" s="75">
        <v>7.3</v>
      </c>
      <c r="E41" s="72">
        <f>B41*$C$3*(D41/100)</f>
        <v>47289400</v>
      </c>
      <c r="F41" s="72">
        <f>E41*$B$33/3600</f>
        <v>588490.31111111108</v>
      </c>
      <c r="G41" s="72">
        <f>E41/1000</f>
        <v>47289.4</v>
      </c>
      <c r="H41" s="130"/>
      <c r="I41" s="130"/>
      <c r="J41" s="130"/>
      <c r="K41" s="130"/>
      <c r="L41" s="132"/>
      <c r="M41" s="130"/>
      <c r="N41" s="132"/>
      <c r="O41" s="130"/>
      <c r="P41" s="130"/>
      <c r="Q41" s="130"/>
      <c r="R41" s="130"/>
      <c r="S41" s="130"/>
      <c r="T41" s="130"/>
      <c r="U41" s="130"/>
      <c r="V41" s="130"/>
      <c r="W41" s="130"/>
    </row>
    <row r="42" spans="1:23">
      <c r="A42" s="132"/>
      <c r="B42" s="132"/>
      <c r="C42" s="130"/>
      <c r="D42" s="130"/>
      <c r="E42" s="130"/>
      <c r="F42" s="130"/>
      <c r="G42" s="130"/>
      <c r="H42" s="130"/>
      <c r="I42" s="130"/>
      <c r="J42" s="130"/>
      <c r="K42" s="130"/>
      <c r="L42" s="132"/>
      <c r="M42" s="130"/>
      <c r="N42" s="132"/>
      <c r="O42" s="130"/>
      <c r="P42" s="130"/>
      <c r="Q42" s="130"/>
      <c r="R42" s="130"/>
      <c r="S42" s="130"/>
      <c r="T42" s="130"/>
      <c r="U42" s="130"/>
      <c r="V42" s="130"/>
      <c r="W42" s="130"/>
    </row>
    <row r="43" spans="1:23">
      <c r="A43" s="132"/>
      <c r="B43" s="132"/>
      <c r="C43" s="130"/>
      <c r="D43" s="130"/>
      <c r="E43" s="130"/>
      <c r="F43" s="130"/>
      <c r="G43" s="130"/>
      <c r="H43" s="130"/>
      <c r="I43" s="130"/>
      <c r="J43" s="130"/>
      <c r="K43" s="130"/>
      <c r="L43" s="132"/>
      <c r="M43" s="130"/>
      <c r="N43" s="132"/>
      <c r="O43" s="130"/>
      <c r="P43" s="130"/>
      <c r="Q43" s="130"/>
      <c r="R43" s="130"/>
      <c r="S43" s="130"/>
      <c r="T43" s="130"/>
      <c r="U43" s="130"/>
      <c r="V43" s="130"/>
      <c r="W43" s="130"/>
    </row>
    <row r="44" spans="1:23" ht="31.5">
      <c r="A44" s="72" t="s">
        <v>494</v>
      </c>
      <c r="B44" s="76" t="s">
        <v>495</v>
      </c>
      <c r="C44" s="76" t="s">
        <v>689</v>
      </c>
      <c r="D44" s="76" t="s">
        <v>662</v>
      </c>
      <c r="E44" s="76" t="s">
        <v>663</v>
      </c>
      <c r="F44" s="130"/>
      <c r="G44" s="130"/>
      <c r="H44" s="130"/>
      <c r="I44" s="130"/>
      <c r="J44" s="130"/>
      <c r="K44" s="130"/>
      <c r="L44" s="132"/>
      <c r="M44" s="130"/>
      <c r="N44" s="132"/>
      <c r="O44" s="130"/>
      <c r="P44" s="130"/>
      <c r="Q44" s="130"/>
      <c r="R44" s="130"/>
      <c r="S44" s="130"/>
      <c r="T44" s="130"/>
      <c r="U44" s="130"/>
      <c r="V44" s="130"/>
      <c r="W44" s="130"/>
    </row>
    <row r="45" spans="1:23">
      <c r="A45" s="374">
        <v>2010</v>
      </c>
      <c r="B45" s="75">
        <v>91410</v>
      </c>
      <c r="C45" s="72">
        <f>$P$24*$B$33/3600</f>
        <v>149609.02792266663</v>
      </c>
      <c r="D45" s="72">
        <f>$P$24/1000</f>
        <v>12022.154029499998</v>
      </c>
      <c r="E45" s="317">
        <f>SUM(D45:D47)</f>
        <v>40783.307740499993</v>
      </c>
      <c r="F45" s="130"/>
      <c r="G45" s="130"/>
      <c r="H45" s="130"/>
      <c r="I45" s="130"/>
      <c r="J45" s="130"/>
      <c r="K45" s="130"/>
      <c r="L45" s="132"/>
      <c r="M45" s="130"/>
      <c r="N45" s="132"/>
      <c r="O45" s="130"/>
      <c r="P45" s="130"/>
      <c r="Q45" s="130"/>
      <c r="R45" s="130"/>
      <c r="S45" s="130"/>
      <c r="T45" s="130"/>
      <c r="U45" s="130"/>
      <c r="V45" s="130"/>
      <c r="W45" s="130"/>
    </row>
    <row r="46" spans="1:23">
      <c r="A46" s="374"/>
      <c r="B46" s="75">
        <v>91409</v>
      </c>
      <c r="C46" s="72">
        <f>$P$27*$B$33/3600</f>
        <v>87274.859167999995</v>
      </c>
      <c r="D46" s="72">
        <f>$P$27/1000</f>
        <v>7013.1583259999998</v>
      </c>
      <c r="E46" s="317"/>
      <c r="F46" s="132"/>
      <c r="G46" s="132"/>
      <c r="H46" s="132"/>
      <c r="I46" s="132"/>
      <c r="J46" s="132"/>
      <c r="K46" s="132"/>
      <c r="L46" s="132"/>
      <c r="M46" s="132"/>
      <c r="N46" s="132"/>
      <c r="O46" s="130"/>
      <c r="P46" s="130"/>
      <c r="Q46" s="130"/>
      <c r="R46" s="130"/>
      <c r="S46" s="130"/>
      <c r="T46" s="130"/>
      <c r="U46" s="130"/>
      <c r="V46" s="130"/>
      <c r="W46" s="130"/>
    </row>
    <row r="47" spans="1:23">
      <c r="A47" s="374"/>
      <c r="B47" s="75">
        <v>91408</v>
      </c>
      <c r="C47" s="72">
        <f>$P$30*$B$33/3600</f>
        <v>270641.72034666658</v>
      </c>
      <c r="D47" s="72">
        <f>$P$30/1000</f>
        <v>21747.995384999998</v>
      </c>
      <c r="E47" s="317"/>
      <c r="F47" s="132"/>
      <c r="G47" s="132"/>
      <c r="H47" s="132"/>
      <c r="I47" s="132"/>
      <c r="J47" s="132"/>
      <c r="K47" s="132"/>
      <c r="L47" s="132"/>
      <c r="M47" s="132"/>
      <c r="N47" s="132"/>
      <c r="O47" s="130"/>
      <c r="P47" s="130"/>
      <c r="Q47" s="130"/>
      <c r="R47" s="130"/>
      <c r="S47" s="130"/>
      <c r="T47" s="130"/>
      <c r="U47" s="130"/>
      <c r="V47" s="130"/>
      <c r="W47" s="130"/>
    </row>
    <row r="48" spans="1:23">
      <c r="A48" s="374">
        <v>2014</v>
      </c>
      <c r="B48" s="75">
        <v>91410</v>
      </c>
      <c r="C48" s="72">
        <f>$P$25*$B$33/3600</f>
        <v>146702.6861253333</v>
      </c>
      <c r="D48" s="72">
        <f>$P$25/1000</f>
        <v>11788.608706499999</v>
      </c>
      <c r="E48" s="317">
        <f>SUM(D48:D50)</f>
        <v>39973.483408499997</v>
      </c>
      <c r="F48" s="132"/>
      <c r="G48" s="132"/>
      <c r="H48" s="132"/>
      <c r="I48" s="132"/>
      <c r="J48" s="132"/>
      <c r="K48" s="132"/>
      <c r="L48" s="132"/>
      <c r="M48" s="132"/>
      <c r="N48" s="132"/>
      <c r="O48" s="130"/>
      <c r="P48" s="130"/>
      <c r="Q48" s="130"/>
      <c r="R48" s="130"/>
      <c r="S48" s="130"/>
      <c r="T48" s="130"/>
      <c r="U48" s="130"/>
      <c r="V48" s="130"/>
      <c r="W48" s="130"/>
    </row>
    <row r="49" spans="1:23">
      <c r="A49" s="374"/>
      <c r="B49" s="75">
        <v>91409</v>
      </c>
      <c r="C49" s="72">
        <f>$P$28*$B$33/3600</f>
        <v>85643.860723555525</v>
      </c>
      <c r="D49" s="72">
        <f>$P$28/1000</f>
        <v>6882.0959509999975</v>
      </c>
      <c r="E49" s="317"/>
      <c r="F49" s="132"/>
      <c r="G49" s="132"/>
      <c r="H49" s="132"/>
      <c r="I49" s="132"/>
      <c r="J49" s="132"/>
      <c r="K49" s="132"/>
      <c r="L49" s="132"/>
      <c r="M49" s="132"/>
      <c r="N49" s="132"/>
      <c r="O49" s="130"/>
      <c r="P49" s="130"/>
      <c r="Q49" s="130"/>
      <c r="R49" s="130"/>
      <c r="S49" s="130"/>
      <c r="T49" s="130"/>
      <c r="U49" s="130"/>
      <c r="V49" s="130"/>
      <c r="W49" s="130"/>
    </row>
    <row r="50" spans="1:23">
      <c r="A50" s="374"/>
      <c r="B50" s="75">
        <v>91408</v>
      </c>
      <c r="C50" s="72">
        <f>$P$31*$B$33/3600</f>
        <v>265101.24667911103</v>
      </c>
      <c r="D50" s="72">
        <f>$P$31/1000</f>
        <v>21302.778750999998</v>
      </c>
      <c r="E50" s="317"/>
      <c r="F50" s="132"/>
      <c r="G50" s="132"/>
      <c r="H50" s="132"/>
      <c r="I50" s="132"/>
      <c r="J50" s="132"/>
      <c r="K50" s="132"/>
      <c r="L50" s="132"/>
      <c r="M50" s="132"/>
      <c r="N50" s="132"/>
      <c r="O50" s="130"/>
      <c r="P50" s="130"/>
      <c r="Q50" s="130"/>
      <c r="R50" s="130"/>
      <c r="S50" s="130"/>
      <c r="T50" s="130"/>
      <c r="U50" s="130"/>
      <c r="V50" s="130"/>
      <c r="W50" s="130"/>
    </row>
    <row r="51" spans="1:23">
      <c r="A51" s="374">
        <v>2020</v>
      </c>
      <c r="B51" s="75">
        <v>91410</v>
      </c>
      <c r="C51" s="72">
        <f>$P$26*$B$33/3600</f>
        <v>142479.31064266665</v>
      </c>
      <c r="D51" s="72">
        <f>$P$26/1000</f>
        <v>11449.230319499999</v>
      </c>
      <c r="E51" s="317">
        <f>SUM(D51:D53)</f>
        <v>38787.902015499996</v>
      </c>
      <c r="F51" s="132"/>
      <c r="G51" s="132"/>
      <c r="H51" s="132"/>
      <c r="I51" s="132"/>
      <c r="J51" s="132"/>
      <c r="K51" s="132"/>
      <c r="L51" s="132"/>
      <c r="M51" s="132"/>
      <c r="N51" s="132"/>
      <c r="O51" s="130"/>
      <c r="P51" s="130"/>
      <c r="Q51" s="130"/>
      <c r="R51" s="130"/>
      <c r="S51" s="130"/>
      <c r="T51" s="130"/>
      <c r="U51" s="130"/>
      <c r="V51" s="130"/>
      <c r="W51" s="130"/>
    </row>
    <row r="52" spans="1:23">
      <c r="A52" s="374"/>
      <c r="B52" s="75">
        <v>91409</v>
      </c>
      <c r="C52" s="72">
        <f>$P$29*$B$33/3600</f>
        <v>83239.419946666647</v>
      </c>
      <c r="D52" s="72">
        <f>$P$29/1000</f>
        <v>6688.8819599999988</v>
      </c>
      <c r="E52" s="317"/>
      <c r="F52" s="132"/>
      <c r="G52" s="132"/>
      <c r="H52" s="132"/>
      <c r="I52" s="132"/>
      <c r="J52" s="132"/>
      <c r="K52" s="132"/>
      <c r="L52" s="132"/>
      <c r="M52" s="132"/>
      <c r="N52" s="132"/>
      <c r="O52" s="130"/>
      <c r="P52" s="130"/>
      <c r="Q52" s="130"/>
      <c r="R52" s="130"/>
      <c r="S52" s="130"/>
      <c r="T52" s="130"/>
      <c r="U52" s="130"/>
      <c r="V52" s="130"/>
      <c r="W52" s="130"/>
    </row>
    <row r="53" spans="1:23">
      <c r="A53" s="374"/>
      <c r="B53" s="75">
        <v>91408</v>
      </c>
      <c r="C53" s="72">
        <f>$P$32*$B$33/3600</f>
        <v>256975.16115911107</v>
      </c>
      <c r="D53" s="72">
        <f>$P$32/1000</f>
        <v>20649.789735999999</v>
      </c>
      <c r="E53" s="317"/>
      <c r="F53" s="132"/>
      <c r="G53" s="132"/>
      <c r="H53" s="132"/>
      <c r="I53" s="132"/>
      <c r="J53" s="132"/>
      <c r="K53" s="132"/>
      <c r="L53" s="132"/>
      <c r="M53" s="132"/>
      <c r="N53" s="132"/>
      <c r="O53" s="130"/>
      <c r="P53" s="130"/>
      <c r="Q53" s="130"/>
      <c r="R53" s="130"/>
      <c r="S53" s="130"/>
      <c r="T53" s="130"/>
      <c r="U53" s="130"/>
      <c r="V53" s="130"/>
      <c r="W53" s="130"/>
    </row>
    <row r="54" spans="1:23">
      <c r="A54" s="132"/>
      <c r="B54" s="132"/>
      <c r="C54" s="132"/>
      <c r="D54" s="132"/>
      <c r="E54" s="132"/>
      <c r="F54" s="132"/>
      <c r="G54" s="132"/>
      <c r="H54" s="132"/>
      <c r="I54" s="132"/>
      <c r="J54" s="132"/>
      <c r="K54" s="132"/>
      <c r="L54" s="132"/>
      <c r="M54" s="132"/>
      <c r="N54" s="132"/>
      <c r="O54" s="130"/>
      <c r="P54" s="130"/>
      <c r="Q54" s="130"/>
      <c r="R54" s="130"/>
      <c r="S54" s="130"/>
      <c r="T54" s="130"/>
      <c r="U54" s="130"/>
      <c r="V54" s="130"/>
      <c r="W54" s="130"/>
    </row>
    <row r="55" spans="1:23">
      <c r="A55" s="378" t="s">
        <v>619</v>
      </c>
      <c r="B55" s="378"/>
      <c r="C55" s="378"/>
      <c r="D55" s="378"/>
      <c r="E55" s="378"/>
      <c r="F55" s="378"/>
      <c r="G55" s="378"/>
      <c r="H55" s="132"/>
      <c r="I55" s="132"/>
      <c r="J55" s="132"/>
      <c r="K55" s="132"/>
      <c r="L55" s="132"/>
      <c r="M55" s="132"/>
      <c r="N55" s="132"/>
      <c r="O55" s="130"/>
      <c r="P55" s="130"/>
      <c r="Q55" s="130"/>
      <c r="R55" s="130"/>
      <c r="S55" s="130"/>
      <c r="T55" s="130"/>
      <c r="U55" s="130"/>
      <c r="V55" s="130"/>
      <c r="W55" s="130"/>
    </row>
    <row r="56" spans="1:23" ht="84" customHeight="1">
      <c r="A56" s="75" t="s">
        <v>493</v>
      </c>
      <c r="B56" s="131" t="s">
        <v>510</v>
      </c>
      <c r="C56" s="131" t="s">
        <v>509</v>
      </c>
      <c r="D56" s="131" t="s">
        <v>512</v>
      </c>
      <c r="E56" s="131" t="s">
        <v>511</v>
      </c>
      <c r="F56" s="131" t="s">
        <v>689</v>
      </c>
      <c r="G56" s="75" t="s">
        <v>604</v>
      </c>
      <c r="H56" s="132"/>
      <c r="I56" s="132"/>
      <c r="J56" s="132"/>
      <c r="K56" s="132"/>
      <c r="L56" s="132"/>
      <c r="M56" s="132"/>
      <c r="N56" s="132"/>
      <c r="O56" s="130"/>
      <c r="P56" s="130"/>
      <c r="Q56" s="130"/>
      <c r="R56" s="130"/>
      <c r="S56" s="130"/>
      <c r="T56" s="130"/>
      <c r="U56" s="130"/>
      <c r="V56" s="130"/>
      <c r="W56" s="130"/>
    </row>
    <row r="57" spans="1:23">
      <c r="A57" s="75">
        <v>2012</v>
      </c>
      <c r="B57" s="83">
        <v>26553</v>
      </c>
      <c r="C57" s="83">
        <v>12956</v>
      </c>
      <c r="D57" s="75">
        <v>8.1</v>
      </c>
      <c r="E57" s="72">
        <f>B57*$C$3*(D57/100)</f>
        <v>27865674.107999999</v>
      </c>
      <c r="F57" s="72">
        <f>E57*$B$33/3600</f>
        <v>346772.83334399998</v>
      </c>
      <c r="G57" s="72">
        <f>E57/1000</f>
        <v>27865.674107999999</v>
      </c>
      <c r="H57" s="132"/>
      <c r="I57" s="132"/>
      <c r="J57" s="132"/>
      <c r="K57" s="132"/>
      <c r="L57" s="132"/>
      <c r="M57" s="132"/>
      <c r="N57" s="132"/>
      <c r="O57" s="130"/>
      <c r="P57" s="130"/>
      <c r="Q57" s="130"/>
      <c r="R57" s="130"/>
      <c r="S57" s="130"/>
      <c r="T57" s="130"/>
      <c r="U57" s="130"/>
      <c r="V57" s="130"/>
      <c r="W57" s="130"/>
    </row>
    <row r="58" spans="1:23">
      <c r="A58" s="75">
        <v>2014</v>
      </c>
      <c r="B58" s="83">
        <v>33001</v>
      </c>
      <c r="C58" s="83">
        <v>12956</v>
      </c>
      <c r="D58" s="75">
        <v>7.7</v>
      </c>
      <c r="E58" s="72">
        <f>B58*$C$3*(D58/100)</f>
        <v>32922193.612</v>
      </c>
      <c r="F58" s="72">
        <f>E58*$B$33/3600</f>
        <v>409698.40939377778</v>
      </c>
      <c r="G58" s="72">
        <f>E58/1000</f>
        <v>32922.193612000003</v>
      </c>
      <c r="H58" s="132"/>
      <c r="I58" s="132"/>
      <c r="J58" s="132"/>
      <c r="K58" s="132"/>
      <c r="L58" s="132"/>
      <c r="M58" s="132"/>
      <c r="N58" s="132"/>
      <c r="O58" s="130"/>
      <c r="P58" s="130"/>
      <c r="Q58" s="130"/>
      <c r="R58" s="130"/>
      <c r="S58" s="130"/>
      <c r="T58" s="130"/>
      <c r="U58" s="130"/>
      <c r="V58" s="130"/>
      <c r="W58" s="130"/>
    </row>
    <row r="59" spans="1:23">
      <c r="A59" s="75">
        <v>2020</v>
      </c>
      <c r="B59" s="83">
        <v>40000</v>
      </c>
      <c r="C59" s="83">
        <v>12956</v>
      </c>
      <c r="D59" s="75">
        <v>7.3</v>
      </c>
      <c r="E59" s="72">
        <f>B59*$C$3*(D59/100)</f>
        <v>37831520</v>
      </c>
      <c r="F59" s="72">
        <f>E59*$B$33/3600</f>
        <v>470792.24888888886</v>
      </c>
      <c r="G59" s="72">
        <f>E59/1000</f>
        <v>37831.519999999997</v>
      </c>
      <c r="H59" s="132"/>
      <c r="I59" s="132"/>
      <c r="J59" s="132"/>
      <c r="K59" s="132"/>
      <c r="L59" s="132"/>
      <c r="M59" s="132"/>
      <c r="N59" s="132"/>
      <c r="O59" s="130"/>
      <c r="P59" s="130"/>
      <c r="Q59" s="130"/>
      <c r="R59" s="130"/>
      <c r="S59" s="130"/>
      <c r="T59" s="130"/>
      <c r="U59" s="130"/>
      <c r="V59" s="130"/>
      <c r="W59" s="130"/>
    </row>
    <row r="60" spans="1:23">
      <c r="A60" s="132"/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L60" s="132"/>
      <c r="M60" s="132"/>
      <c r="N60" s="132"/>
      <c r="O60" s="130"/>
      <c r="P60" s="130"/>
      <c r="Q60" s="130"/>
      <c r="R60" s="130"/>
      <c r="S60" s="130"/>
      <c r="T60" s="130"/>
      <c r="U60" s="130"/>
      <c r="V60" s="130"/>
      <c r="W60" s="130"/>
    </row>
    <row r="61" spans="1:23" ht="31.5">
      <c r="A61" s="72" t="s">
        <v>494</v>
      </c>
      <c r="B61" s="76" t="s">
        <v>495</v>
      </c>
      <c r="C61" s="76" t="s">
        <v>689</v>
      </c>
      <c r="D61" s="76" t="s">
        <v>662</v>
      </c>
      <c r="E61" s="76" t="s">
        <v>665</v>
      </c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</row>
    <row r="62" spans="1:23">
      <c r="A62" s="374">
        <v>2010</v>
      </c>
      <c r="B62" s="75">
        <v>91410</v>
      </c>
      <c r="C62" s="72">
        <f>$P$24*$B$33/3600</f>
        <v>149609.02792266663</v>
      </c>
      <c r="D62" s="72">
        <f>$P$24/1000</f>
        <v>12022.154029499998</v>
      </c>
      <c r="E62" s="317">
        <f>SUM(D62:D64)</f>
        <v>40783.307740499993</v>
      </c>
      <c r="F62" s="130"/>
      <c r="G62" s="130"/>
      <c r="H62" s="130"/>
      <c r="I62" s="130"/>
      <c r="J62" s="130"/>
      <c r="K62" s="130"/>
      <c r="L62" s="130"/>
      <c r="M62" s="130"/>
      <c r="N62" s="130"/>
      <c r="O62" s="130"/>
      <c r="P62" s="130"/>
      <c r="Q62" s="130"/>
      <c r="R62" s="130"/>
      <c r="S62" s="130"/>
      <c r="T62" s="130"/>
      <c r="U62" s="130"/>
      <c r="V62" s="130"/>
      <c r="W62" s="130"/>
    </row>
    <row r="63" spans="1:23">
      <c r="A63" s="374"/>
      <c r="B63" s="75">
        <v>91409</v>
      </c>
      <c r="C63" s="72">
        <f>$P$27*$B$33/3600</f>
        <v>87274.859167999995</v>
      </c>
      <c r="D63" s="72">
        <f>$P$27/1000</f>
        <v>7013.1583259999998</v>
      </c>
      <c r="E63" s="317"/>
      <c r="F63" s="130"/>
      <c r="G63" s="130"/>
      <c r="H63" s="130"/>
      <c r="I63" s="130"/>
      <c r="J63" s="130"/>
      <c r="K63" s="130"/>
      <c r="L63" s="130"/>
      <c r="M63" s="130"/>
      <c r="N63" s="130"/>
      <c r="O63" s="130"/>
      <c r="P63" s="130"/>
      <c r="Q63" s="130"/>
      <c r="R63" s="130"/>
      <c r="S63" s="130"/>
      <c r="T63" s="130"/>
      <c r="U63" s="130"/>
      <c r="V63" s="130"/>
      <c r="W63" s="130"/>
    </row>
    <row r="64" spans="1:23">
      <c r="A64" s="374"/>
      <c r="B64" s="75">
        <v>91408</v>
      </c>
      <c r="C64" s="72">
        <f>$P$30*$B$33/3600</f>
        <v>270641.72034666658</v>
      </c>
      <c r="D64" s="72">
        <f>$P$30/1000</f>
        <v>21747.995384999998</v>
      </c>
      <c r="E64" s="317"/>
      <c r="F64" s="130"/>
      <c r="G64" s="130"/>
      <c r="H64" s="130"/>
      <c r="I64" s="130"/>
      <c r="J64" s="130"/>
      <c r="K64" s="130"/>
      <c r="L64" s="130"/>
      <c r="M64" s="130"/>
      <c r="N64" s="130"/>
      <c r="O64" s="130"/>
      <c r="P64" s="130"/>
      <c r="Q64" s="130"/>
      <c r="R64" s="130"/>
      <c r="S64" s="130"/>
      <c r="T64" s="130"/>
      <c r="U64" s="130"/>
      <c r="V64" s="130"/>
      <c r="W64" s="130"/>
    </row>
    <row r="65" spans="1:23">
      <c r="A65" s="374">
        <v>2014</v>
      </c>
      <c r="B65" s="75">
        <v>91410</v>
      </c>
      <c r="C65" s="72">
        <f>$P$25*$B$33/3600</f>
        <v>146702.6861253333</v>
      </c>
      <c r="D65" s="72">
        <f>$P$25/1000</f>
        <v>11788.608706499999</v>
      </c>
      <c r="E65" s="317">
        <f>SUM(D65:D67)</f>
        <v>39973.483408499997</v>
      </c>
      <c r="F65" s="130"/>
      <c r="G65" s="130"/>
      <c r="H65" s="130"/>
      <c r="I65" s="130"/>
      <c r="J65" s="130"/>
      <c r="K65" s="130"/>
      <c r="L65" s="130"/>
      <c r="M65" s="130"/>
      <c r="N65" s="130"/>
      <c r="O65" s="130"/>
      <c r="P65" s="130"/>
      <c r="Q65" s="130"/>
      <c r="R65" s="130"/>
      <c r="S65" s="130"/>
      <c r="T65" s="130"/>
      <c r="U65" s="130"/>
      <c r="V65" s="130"/>
      <c r="W65" s="130"/>
    </row>
    <row r="66" spans="1:23">
      <c r="A66" s="374"/>
      <c r="B66" s="75">
        <v>91409</v>
      </c>
      <c r="C66" s="72">
        <f>$P$28*$B$33/3600</f>
        <v>85643.860723555525</v>
      </c>
      <c r="D66" s="72">
        <f>$P$28/1000</f>
        <v>6882.0959509999975</v>
      </c>
      <c r="E66" s="317"/>
      <c r="F66" s="130"/>
      <c r="G66" s="130"/>
      <c r="H66" s="130"/>
      <c r="I66" s="130"/>
      <c r="J66" s="130"/>
      <c r="K66" s="130"/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30"/>
      <c r="W66" s="130"/>
    </row>
    <row r="67" spans="1:23">
      <c r="A67" s="374"/>
      <c r="B67" s="75">
        <v>91408</v>
      </c>
      <c r="C67" s="72">
        <f>$P$31*$B$33/3600</f>
        <v>265101.24667911103</v>
      </c>
      <c r="D67" s="72">
        <f>$P$31/1000</f>
        <v>21302.778750999998</v>
      </c>
      <c r="E67" s="317"/>
      <c r="F67" s="130"/>
      <c r="G67" s="130"/>
      <c r="H67" s="130"/>
      <c r="I67" s="130"/>
      <c r="J67" s="130"/>
      <c r="K67" s="130"/>
      <c r="L67" s="130"/>
      <c r="M67" s="130"/>
      <c r="N67" s="130"/>
      <c r="O67" s="130"/>
      <c r="P67" s="130"/>
      <c r="Q67" s="130"/>
      <c r="R67" s="130"/>
      <c r="S67" s="130"/>
      <c r="T67" s="130"/>
      <c r="U67" s="130"/>
      <c r="V67" s="130"/>
      <c r="W67" s="130"/>
    </row>
    <row r="68" spans="1:23">
      <c r="A68" s="374">
        <v>2020</v>
      </c>
      <c r="B68" s="75">
        <v>91410</v>
      </c>
      <c r="C68" s="72">
        <f>$P$26*$B$33/3600</f>
        <v>142479.31064266665</v>
      </c>
      <c r="D68" s="72">
        <f>$P$26/1000</f>
        <v>11449.230319499999</v>
      </c>
      <c r="E68" s="317">
        <f>SUM(D68:D70)</f>
        <v>38787.902015499996</v>
      </c>
      <c r="F68" s="130"/>
      <c r="G68" s="130"/>
      <c r="H68" s="130"/>
      <c r="I68" s="130"/>
      <c r="J68" s="130"/>
      <c r="K68" s="130"/>
      <c r="L68" s="130"/>
      <c r="M68" s="130"/>
      <c r="N68" s="130"/>
      <c r="O68" s="130"/>
      <c r="P68" s="130"/>
      <c r="Q68" s="130"/>
      <c r="R68" s="130"/>
      <c r="S68" s="130"/>
      <c r="T68" s="130"/>
      <c r="U68" s="130"/>
      <c r="V68" s="130"/>
      <c r="W68" s="130"/>
    </row>
    <row r="69" spans="1:23">
      <c r="A69" s="374"/>
      <c r="B69" s="75">
        <v>91409</v>
      </c>
      <c r="C69" s="72">
        <f>$P$29*$B$33/3600</f>
        <v>83239.419946666647</v>
      </c>
      <c r="D69" s="72">
        <f>$P$29/1000</f>
        <v>6688.8819599999988</v>
      </c>
      <c r="E69" s="317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0"/>
      <c r="U69" s="130"/>
      <c r="V69" s="130"/>
      <c r="W69" s="130"/>
    </row>
    <row r="70" spans="1:23">
      <c r="A70" s="374"/>
      <c r="B70" s="75">
        <v>91408</v>
      </c>
      <c r="C70" s="72">
        <f>$P$32*$B$33/3600</f>
        <v>256975.16115911107</v>
      </c>
      <c r="D70" s="72">
        <f>$P$32/1000</f>
        <v>20649.789735999999</v>
      </c>
      <c r="E70" s="317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0"/>
      <c r="S70" s="130"/>
      <c r="T70" s="130"/>
      <c r="U70" s="130"/>
      <c r="V70" s="130"/>
      <c r="W70" s="130"/>
    </row>
    <row r="71" spans="1:23">
      <c r="D71" s="67"/>
      <c r="E71" s="67"/>
      <c r="F71" s="67"/>
      <c r="G71" s="67"/>
      <c r="H71" s="67"/>
    </row>
    <row r="72" spans="1:23">
      <c r="D72" s="67"/>
      <c r="E72" s="67"/>
      <c r="F72" s="67"/>
      <c r="G72" s="67"/>
      <c r="H72" s="67"/>
    </row>
    <row r="73" spans="1:23">
      <c r="D73" s="67"/>
      <c r="E73" s="67"/>
      <c r="F73" s="67"/>
      <c r="G73" s="67"/>
      <c r="H73" s="67"/>
    </row>
    <row r="74" spans="1:23">
      <c r="D74" s="67"/>
      <c r="E74" s="67"/>
      <c r="F74" s="67"/>
      <c r="G74" s="67"/>
      <c r="H74" s="67"/>
    </row>
    <row r="75" spans="1:23">
      <c r="D75" s="67"/>
      <c r="E75" s="67"/>
      <c r="F75" s="67"/>
      <c r="G75" s="67"/>
      <c r="H75" s="67"/>
    </row>
    <row r="76" spans="1:23">
      <c r="D76" s="67"/>
      <c r="E76" s="67"/>
      <c r="F76" s="67"/>
      <c r="G76" s="67"/>
      <c r="H76" s="67"/>
    </row>
    <row r="77" spans="1:23">
      <c r="D77" s="67"/>
      <c r="E77" s="67"/>
      <c r="F77" s="67"/>
      <c r="G77" s="67"/>
      <c r="H77" s="67"/>
    </row>
    <row r="78" spans="1:23">
      <c r="D78" s="67"/>
      <c r="E78" s="67"/>
      <c r="F78" s="67"/>
      <c r="G78" s="67"/>
      <c r="H78" s="67"/>
    </row>
  </sheetData>
  <mergeCells count="55">
    <mergeCell ref="I1:O1"/>
    <mergeCell ref="Q1:W1"/>
    <mergeCell ref="A55:G55"/>
    <mergeCell ref="A65:A67"/>
    <mergeCell ref="A68:A70"/>
    <mergeCell ref="E68:E70"/>
    <mergeCell ref="E65:E67"/>
    <mergeCell ref="E62:E64"/>
    <mergeCell ref="A62:A64"/>
    <mergeCell ref="A37:G37"/>
    <mergeCell ref="A48:A50"/>
    <mergeCell ref="A51:A53"/>
    <mergeCell ref="E51:E53"/>
    <mergeCell ref="E48:E50"/>
    <mergeCell ref="E45:E47"/>
    <mergeCell ref="A45:A47"/>
    <mergeCell ref="A7:P7"/>
    <mergeCell ref="O22:O23"/>
    <mergeCell ref="G21:O21"/>
    <mergeCell ref="P21:P23"/>
    <mergeCell ref="I22:I23"/>
    <mergeCell ref="J22:J23"/>
    <mergeCell ref="K22:K23"/>
    <mergeCell ref="L22:M22"/>
    <mergeCell ref="N22:N23"/>
    <mergeCell ref="H22:H23"/>
    <mergeCell ref="G22:G23"/>
    <mergeCell ref="J8:J9"/>
    <mergeCell ref="K8:K9"/>
    <mergeCell ref="H15:H16"/>
    <mergeCell ref="H24:H26"/>
    <mergeCell ref="H27:H29"/>
    <mergeCell ref="H30:H32"/>
    <mergeCell ref="A25:A27"/>
    <mergeCell ref="A28:A30"/>
    <mergeCell ref="E28:E30"/>
    <mergeCell ref="E25:E27"/>
    <mergeCell ref="E22:E24"/>
    <mergeCell ref="A22:A24"/>
    <mergeCell ref="A1:G1"/>
    <mergeCell ref="B14:H14"/>
    <mergeCell ref="A14:A16"/>
    <mergeCell ref="E15:F15"/>
    <mergeCell ref="E8:E9"/>
    <mergeCell ref="F8:F9"/>
    <mergeCell ref="G8:G9"/>
    <mergeCell ref="C15:C16"/>
    <mergeCell ref="A8:A9"/>
    <mergeCell ref="B8:B9"/>
    <mergeCell ref="C8:C9"/>
    <mergeCell ref="D8:D9"/>
    <mergeCell ref="B15:B16"/>
    <mergeCell ref="D15:D16"/>
    <mergeCell ref="H8:I8"/>
    <mergeCell ref="G15:G1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92"/>
  <sheetViews>
    <sheetView zoomScale="55" zoomScaleNormal="55" workbookViewId="0">
      <selection activeCell="G28" sqref="G28"/>
    </sheetView>
  </sheetViews>
  <sheetFormatPr defaultRowHeight="15.75"/>
  <cols>
    <col min="1" max="1" width="29" style="1" customWidth="1"/>
    <col min="2" max="2" width="22.125" style="1" customWidth="1"/>
    <col min="3" max="3" width="23.875" style="1" customWidth="1"/>
    <col min="4" max="4" width="21.875" style="1" customWidth="1"/>
    <col min="5" max="5" width="28" style="1" customWidth="1"/>
    <col min="6" max="6" width="17.5" style="1" customWidth="1"/>
    <col min="7" max="7" width="18.75" style="1" customWidth="1"/>
    <col min="8" max="8" width="25.875" style="1" customWidth="1"/>
    <col min="9" max="9" width="30.25" style="1" customWidth="1"/>
    <col min="10" max="10" width="28.375" style="1" customWidth="1"/>
    <col min="11" max="11" width="14.5" style="1" customWidth="1"/>
    <col min="12" max="12" width="16.625" style="1" customWidth="1"/>
    <col min="13" max="13" width="27.625" style="1" customWidth="1"/>
    <col min="14" max="16384" width="9" style="1"/>
  </cols>
  <sheetData>
    <row r="1" spans="1:13" ht="15.75" customHeight="1">
      <c r="A1" s="313" t="s">
        <v>646</v>
      </c>
      <c r="B1" s="313"/>
      <c r="C1" s="313"/>
      <c r="D1" s="313"/>
      <c r="E1" s="313"/>
      <c r="F1" s="313"/>
      <c r="G1" s="313"/>
      <c r="H1" s="134"/>
      <c r="I1" s="135"/>
      <c r="J1" s="135"/>
      <c r="K1" s="71"/>
      <c r="L1" s="71"/>
      <c r="M1" s="135"/>
    </row>
    <row r="2" spans="1:13" ht="59.25" customHeight="1">
      <c r="A2" s="72" t="s">
        <v>455</v>
      </c>
      <c r="B2" s="72" t="s">
        <v>227</v>
      </c>
      <c r="C2" s="72" t="s">
        <v>458</v>
      </c>
      <c r="D2" s="76" t="s">
        <v>456</v>
      </c>
      <c r="E2" s="76" t="s">
        <v>689</v>
      </c>
      <c r="F2" s="76" t="s">
        <v>528</v>
      </c>
      <c r="G2" s="76" t="s">
        <v>452</v>
      </c>
      <c r="H2" s="135"/>
      <c r="I2" s="135"/>
      <c r="J2" s="135"/>
      <c r="K2" s="135"/>
      <c r="L2" s="135"/>
      <c r="M2" s="135"/>
    </row>
    <row r="3" spans="1:13">
      <c r="A3" s="136" t="s">
        <v>130</v>
      </c>
      <c r="B3" s="72">
        <f>149992.81+32706.96</f>
        <v>182699.77</v>
      </c>
      <c r="C3" s="72" t="s">
        <v>422</v>
      </c>
      <c r="D3" s="72" t="s">
        <v>101</v>
      </c>
      <c r="E3" s="72">
        <f>B3</f>
        <v>182699.77</v>
      </c>
      <c r="F3" s="72">
        <v>0.44600000000000001</v>
      </c>
      <c r="G3" s="72">
        <f>E3*F3</f>
        <v>81484.097419999991</v>
      </c>
      <c r="H3" s="135"/>
      <c r="I3" s="135"/>
      <c r="J3" s="135"/>
      <c r="K3" s="135"/>
      <c r="L3" s="135"/>
      <c r="M3" s="135"/>
    </row>
    <row r="4" spans="1:13">
      <c r="A4" s="136" t="s">
        <v>462</v>
      </c>
      <c r="B4" s="72">
        <f>C12*D12+B21</f>
        <v>47584068.333333336</v>
      </c>
      <c r="C4" s="72" t="s">
        <v>221</v>
      </c>
      <c r="D4" s="72">
        <v>35.94</v>
      </c>
      <c r="E4" s="72">
        <f>B4*D4/3600</f>
        <v>475047.61552777782</v>
      </c>
      <c r="F4" s="72">
        <v>0.2</v>
      </c>
      <c r="G4" s="72">
        <f>F4*E4</f>
        <v>95009.523105555563</v>
      </c>
      <c r="H4" s="135"/>
      <c r="I4" s="135"/>
      <c r="J4" s="135"/>
      <c r="K4" s="135"/>
      <c r="L4" s="135"/>
      <c r="M4" s="135"/>
    </row>
    <row r="5" spans="1:13">
      <c r="A5" s="136" t="s">
        <v>132</v>
      </c>
      <c r="B5" s="72">
        <f>C13*D13</f>
        <v>912444.44444444426</v>
      </c>
      <c r="C5" s="72" t="s">
        <v>222</v>
      </c>
      <c r="D5" s="72">
        <v>40.19</v>
      </c>
      <c r="E5" s="72">
        <f>B5*D5/3600</f>
        <v>10186.428395061726</v>
      </c>
      <c r="F5" s="72">
        <v>0.27</v>
      </c>
      <c r="G5" s="72">
        <f>F5*E5</f>
        <v>2750.3356666666664</v>
      </c>
      <c r="H5" s="135"/>
      <c r="I5" s="135"/>
      <c r="J5" s="135"/>
      <c r="K5" s="135"/>
      <c r="L5" s="135"/>
      <c r="M5" s="135"/>
    </row>
    <row r="6" spans="1:13">
      <c r="A6" s="136" t="s">
        <v>442</v>
      </c>
      <c r="B6" s="72">
        <f>C14*D14</f>
        <v>1345.4482142857141</v>
      </c>
      <c r="C6" s="72" t="s">
        <v>223</v>
      </c>
      <c r="D6" s="72">
        <v>22.63</v>
      </c>
      <c r="E6" s="72">
        <f>(D6*B6)/3.6</f>
        <v>8457.6369692460303</v>
      </c>
      <c r="F6" s="72">
        <v>0.318</v>
      </c>
      <c r="G6" s="72">
        <f>F6*E6</f>
        <v>2689.5285562202375</v>
      </c>
      <c r="H6" s="135"/>
      <c r="I6" s="135"/>
      <c r="J6" s="135"/>
      <c r="K6" s="135"/>
      <c r="L6" s="135"/>
      <c r="M6" s="135"/>
    </row>
    <row r="7" spans="1:13" ht="16.5" thickBot="1">
      <c r="A7" s="136" t="s">
        <v>333</v>
      </c>
      <c r="B7" s="72">
        <f>0.05*325346+0.0223*'Emisje - sektor mieszkalny'!B10</f>
        <v>18463.055827870001</v>
      </c>
      <c r="C7" s="72" t="s">
        <v>423</v>
      </c>
      <c r="D7" s="72" t="s">
        <v>101</v>
      </c>
      <c r="E7" s="77">
        <f>B7*3.6</f>
        <v>66467.000980331999</v>
      </c>
      <c r="F7" s="72">
        <v>9.4E-2</v>
      </c>
      <c r="G7" s="77">
        <f>B7*0.094</f>
        <v>1735.5272478197801</v>
      </c>
      <c r="H7" s="135"/>
      <c r="I7" s="135"/>
      <c r="J7" s="135"/>
      <c r="K7" s="135"/>
      <c r="L7" s="135"/>
      <c r="M7" s="135"/>
    </row>
    <row r="8" spans="1:13" ht="16.5" thickBot="1">
      <c r="A8" s="135"/>
      <c r="B8" s="135"/>
      <c r="C8" s="135"/>
      <c r="D8" s="135"/>
      <c r="E8" s="79">
        <f>SUM(E3:E7)</f>
        <v>742858.4518724177</v>
      </c>
      <c r="F8" s="135"/>
      <c r="G8" s="137">
        <f>SUM(G3:G7)</f>
        <v>183669.01199626227</v>
      </c>
      <c r="H8" s="135"/>
      <c r="I8" s="71"/>
      <c r="J8" s="135"/>
      <c r="K8" s="135"/>
      <c r="L8" s="135"/>
      <c r="M8" s="135"/>
    </row>
    <row r="9" spans="1:13">
      <c r="A9" s="135"/>
      <c r="B9" s="135"/>
      <c r="C9" s="135"/>
      <c r="D9" s="135"/>
      <c r="E9" s="135"/>
      <c r="F9" s="135"/>
      <c r="G9" s="135"/>
      <c r="H9" s="135"/>
      <c r="I9" s="135"/>
      <c r="J9" s="135"/>
      <c r="K9" s="135"/>
      <c r="L9" s="135"/>
      <c r="M9" s="135"/>
    </row>
    <row r="10" spans="1:13">
      <c r="A10" s="383" t="s">
        <v>527</v>
      </c>
      <c r="B10" s="383"/>
      <c r="C10" s="383"/>
      <c r="D10" s="383"/>
      <c r="E10" s="383"/>
      <c r="F10" s="135"/>
      <c r="G10" s="135"/>
      <c r="H10" s="135"/>
      <c r="I10" s="135"/>
      <c r="J10" s="135"/>
      <c r="K10" s="135"/>
      <c r="L10" s="135"/>
      <c r="M10" s="135"/>
    </row>
    <row r="11" spans="1:13" ht="66.75" customHeight="1" thickBot="1">
      <c r="A11" s="136" t="s">
        <v>455</v>
      </c>
      <c r="B11" s="138" t="s">
        <v>516</v>
      </c>
      <c r="C11" s="138" t="s">
        <v>306</v>
      </c>
      <c r="D11" s="138" t="s">
        <v>467</v>
      </c>
      <c r="E11" s="136" t="s">
        <v>458</v>
      </c>
      <c r="F11" s="135"/>
      <c r="G11" s="135"/>
      <c r="H11" s="135"/>
      <c r="I11" s="135"/>
      <c r="J11" s="135"/>
      <c r="K11" s="135"/>
      <c r="L11" s="135"/>
      <c r="M11" s="135"/>
    </row>
    <row r="12" spans="1:13">
      <c r="A12" s="72" t="s">
        <v>462</v>
      </c>
      <c r="B12" s="139">
        <f>'Emisje - ob. uż. publ.'!E78</f>
        <v>23.333333333333332</v>
      </c>
      <c r="C12" s="139">
        <f>B12*$B$17/100</f>
        <v>958.06666666666661</v>
      </c>
      <c r="D12" s="139">
        <f>'Emisje - sektor mieszkalny'!F20</f>
        <v>1775</v>
      </c>
      <c r="E12" s="136" t="s">
        <v>221</v>
      </c>
      <c r="F12" s="135"/>
      <c r="G12" s="135"/>
      <c r="H12" s="135"/>
      <c r="I12" s="379" t="s">
        <v>652</v>
      </c>
      <c r="J12" s="380"/>
      <c r="K12" s="109"/>
      <c r="L12" s="379" t="s">
        <v>653</v>
      </c>
      <c r="M12" s="380"/>
    </row>
    <row r="13" spans="1:13">
      <c r="A13" s="72" t="s">
        <v>132</v>
      </c>
      <c r="B13" s="139">
        <f>'Emisje - ob. uż. publ.'!E81</f>
        <v>8.3333333333333321</v>
      </c>
      <c r="C13" s="139">
        <f>B13*$B$17/100</f>
        <v>342.16666666666663</v>
      </c>
      <c r="D13" s="139">
        <f>'Emisje - sektor mieszkalny'!F21</f>
        <v>2666.6666666666665</v>
      </c>
      <c r="E13" s="136" t="s">
        <v>222</v>
      </c>
      <c r="F13" s="135"/>
      <c r="G13" s="135"/>
      <c r="H13" s="135"/>
      <c r="I13" s="381"/>
      <c r="J13" s="382"/>
      <c r="K13" s="109"/>
      <c r="L13" s="381"/>
      <c r="M13" s="382"/>
    </row>
    <row r="14" spans="1:13">
      <c r="A14" s="72" t="s">
        <v>442</v>
      </c>
      <c r="B14" s="139">
        <f>'Emisje - ob. uż. publ.'!E79</f>
        <v>8.3333333333333321</v>
      </c>
      <c r="C14" s="139">
        <f>B14*$B$17/100</f>
        <v>342.16666666666663</v>
      </c>
      <c r="D14" s="139">
        <f>'Emisje - sektor mieszkalny'!F22</f>
        <v>3.9321428571428569</v>
      </c>
      <c r="E14" s="136" t="s">
        <v>223</v>
      </c>
      <c r="F14" s="135"/>
      <c r="G14" s="135"/>
      <c r="H14" s="135"/>
      <c r="I14" s="140">
        <v>4.92</v>
      </c>
      <c r="J14" s="141" t="s">
        <v>130</v>
      </c>
      <c r="K14" s="109"/>
      <c r="L14" s="140">
        <v>0</v>
      </c>
      <c r="M14" s="141" t="s">
        <v>130</v>
      </c>
    </row>
    <row r="15" spans="1:13">
      <c r="A15" s="135"/>
      <c r="B15" s="135"/>
      <c r="C15" s="135"/>
      <c r="D15" s="135"/>
      <c r="E15" s="135"/>
      <c r="F15" s="135"/>
      <c r="G15" s="135"/>
      <c r="H15" s="135"/>
      <c r="I15" s="140">
        <v>0.42</v>
      </c>
      <c r="J15" s="141" t="s">
        <v>462</v>
      </c>
      <c r="K15" s="109"/>
      <c r="L15" s="142">
        <v>5.0000000000000001E-4</v>
      </c>
      <c r="M15" s="141" t="s">
        <v>462</v>
      </c>
    </row>
    <row r="16" spans="1:13">
      <c r="A16" s="135"/>
      <c r="B16" s="135"/>
      <c r="C16" s="135"/>
      <c r="D16" s="135"/>
      <c r="E16" s="143"/>
      <c r="F16" s="143"/>
      <c r="G16" s="143"/>
      <c r="H16" s="143"/>
      <c r="I16" s="140">
        <v>3.26</v>
      </c>
      <c r="J16" s="141" t="s">
        <v>132</v>
      </c>
      <c r="K16" s="109"/>
      <c r="L16" s="144">
        <v>0.31113760000000001</v>
      </c>
      <c r="M16" s="141" t="s">
        <v>132</v>
      </c>
    </row>
    <row r="17" spans="1:13">
      <c r="A17" s="136" t="s">
        <v>525</v>
      </c>
      <c r="B17" s="136">
        <v>4106</v>
      </c>
      <c r="C17" s="143"/>
      <c r="D17" s="135"/>
      <c r="E17" s="143"/>
      <c r="F17" s="143"/>
      <c r="G17" s="143"/>
      <c r="H17" s="143"/>
      <c r="I17" s="140">
        <v>3.56</v>
      </c>
      <c r="J17" s="141" t="s">
        <v>442</v>
      </c>
      <c r="K17" s="109"/>
      <c r="L17" s="140">
        <v>14</v>
      </c>
      <c r="M17" s="141" t="s">
        <v>442</v>
      </c>
    </row>
    <row r="18" spans="1:13">
      <c r="A18" s="135"/>
      <c r="B18" s="135"/>
      <c r="C18" s="135"/>
      <c r="D18" s="135"/>
      <c r="E18" s="145"/>
      <c r="F18" s="143"/>
      <c r="G18" s="143"/>
      <c r="H18" s="143"/>
      <c r="I18" s="140">
        <v>2.83</v>
      </c>
      <c r="J18" s="141" t="s">
        <v>466</v>
      </c>
      <c r="K18" s="109"/>
      <c r="L18" s="140">
        <v>0</v>
      </c>
      <c r="M18" s="141" t="s">
        <v>466</v>
      </c>
    </row>
    <row r="19" spans="1:13" ht="15.75" customHeight="1">
      <c r="A19" s="383" t="s">
        <v>441</v>
      </c>
      <c r="B19" s="383"/>
      <c r="C19" s="143"/>
      <c r="D19" s="135"/>
      <c r="E19" s="143"/>
      <c r="F19" s="84"/>
      <c r="G19" s="84"/>
      <c r="H19" s="143"/>
      <c r="I19" s="140">
        <v>3.56</v>
      </c>
      <c r="J19" s="141" t="s">
        <v>454</v>
      </c>
      <c r="K19" s="109"/>
      <c r="L19" s="140">
        <v>14</v>
      </c>
      <c r="M19" s="141" t="s">
        <v>454</v>
      </c>
    </row>
    <row r="20" spans="1:13" ht="35.25" customHeight="1">
      <c r="A20" s="136" t="s">
        <v>515</v>
      </c>
      <c r="B20" s="146">
        <v>91767</v>
      </c>
      <c r="C20" s="147"/>
      <c r="D20" s="135"/>
      <c r="E20" s="143"/>
      <c r="F20" s="84"/>
      <c r="G20" s="84"/>
      <c r="H20" s="143"/>
      <c r="I20" s="140">
        <v>1.64</v>
      </c>
      <c r="J20" s="148" t="s">
        <v>576</v>
      </c>
      <c r="K20" s="109"/>
      <c r="L20" s="142">
        <v>5.0000000000000001E-4</v>
      </c>
      <c r="M20" s="148" t="s">
        <v>576</v>
      </c>
    </row>
    <row r="21" spans="1:13" ht="58.5" customHeight="1" thickBot="1">
      <c r="A21" s="136" t="s">
        <v>517</v>
      </c>
      <c r="B21" s="149">
        <f>B20*1000/2</f>
        <v>45883500</v>
      </c>
      <c r="C21" s="150"/>
      <c r="D21" s="151"/>
      <c r="E21" s="143"/>
      <c r="F21" s="84"/>
      <c r="G21" s="84"/>
      <c r="H21" s="143"/>
      <c r="I21" s="152">
        <v>1.64</v>
      </c>
      <c r="J21" s="153" t="s">
        <v>552</v>
      </c>
      <c r="K21" s="109"/>
      <c r="L21" s="154">
        <v>5.0000000000000001E-4</v>
      </c>
      <c r="M21" s="153" t="s">
        <v>552</v>
      </c>
    </row>
    <row r="22" spans="1:13">
      <c r="A22" s="135"/>
      <c r="B22" s="155"/>
      <c r="C22" s="155"/>
      <c r="D22" s="135"/>
      <c r="E22" s="143"/>
      <c r="F22" s="84"/>
      <c r="G22" s="84"/>
      <c r="H22" s="143"/>
      <c r="I22" s="143"/>
      <c r="J22" s="143"/>
      <c r="K22" s="143"/>
      <c r="L22" s="143"/>
      <c r="M22" s="135"/>
    </row>
    <row r="23" spans="1:13">
      <c r="A23" s="136" t="s">
        <v>455</v>
      </c>
      <c r="B23" s="76" t="s">
        <v>453</v>
      </c>
      <c r="C23" s="156"/>
      <c r="D23" s="136" t="s">
        <v>455</v>
      </c>
      <c r="E23" s="76" t="s">
        <v>696</v>
      </c>
      <c r="F23" s="84"/>
      <c r="G23" s="84"/>
      <c r="H23" s="143"/>
      <c r="I23" s="143"/>
      <c r="J23" s="143"/>
      <c r="K23" s="143"/>
      <c r="L23" s="143"/>
      <c r="M23" s="135"/>
    </row>
    <row r="24" spans="1:13">
      <c r="A24" s="72" t="s">
        <v>130</v>
      </c>
      <c r="B24" s="72">
        <f>G3/$G$8*100</f>
        <v>44.364640792894463</v>
      </c>
      <c r="C24" s="84"/>
      <c r="D24" s="72" t="s">
        <v>130</v>
      </c>
      <c r="E24" s="74">
        <f>E3/$E$8*100</f>
        <v>24.594156469445107</v>
      </c>
      <c r="F24" s="143"/>
      <c r="G24" s="143"/>
      <c r="H24" s="143"/>
      <c r="I24" s="143"/>
      <c r="J24" s="143"/>
      <c r="K24" s="157"/>
      <c r="L24" s="143"/>
      <c r="M24" s="135"/>
    </row>
    <row r="25" spans="1:13">
      <c r="A25" s="72" t="s">
        <v>462</v>
      </c>
      <c r="B25" s="72">
        <f>G4/$G$8*100</f>
        <v>51.728662376367026</v>
      </c>
      <c r="C25" s="84"/>
      <c r="D25" s="72" t="s">
        <v>462</v>
      </c>
      <c r="E25" s="74">
        <f>E4/$E$8*100</f>
        <v>63.948604788757912</v>
      </c>
      <c r="F25" s="143"/>
      <c r="G25" s="143"/>
      <c r="H25" s="143"/>
      <c r="I25" s="143"/>
      <c r="J25" s="143"/>
      <c r="K25" s="143"/>
      <c r="L25" s="143"/>
      <c r="M25" s="135"/>
    </row>
    <row r="26" spans="1:13">
      <c r="A26" s="72" t="s">
        <v>132</v>
      </c>
      <c r="B26" s="72">
        <f>G5/$G$8*100</f>
        <v>1.4974413140103551</v>
      </c>
      <c r="C26" s="84"/>
      <c r="D26" s="72" t="s">
        <v>132</v>
      </c>
      <c r="E26" s="74">
        <f>E5/$E$8*100</f>
        <v>1.371247559933692</v>
      </c>
      <c r="F26" s="135"/>
      <c r="G26" s="135"/>
      <c r="H26" s="135"/>
      <c r="I26" s="143"/>
      <c r="J26" s="143"/>
      <c r="K26" s="143"/>
      <c r="L26" s="143"/>
      <c r="M26" s="135"/>
    </row>
    <row r="27" spans="1:13">
      <c r="A27" s="76" t="s">
        <v>514</v>
      </c>
      <c r="B27" s="72">
        <f>G6/$G$8*100</f>
        <v>1.4643344171062294</v>
      </c>
      <c r="C27" s="84"/>
      <c r="D27" s="76" t="s">
        <v>442</v>
      </c>
      <c r="E27" s="74">
        <f>E6/$E$8*100</f>
        <v>1.1385260473146757</v>
      </c>
      <c r="F27" s="135"/>
      <c r="G27" s="135"/>
      <c r="H27" s="135"/>
      <c r="I27" s="143"/>
      <c r="J27" s="143"/>
      <c r="K27" s="143"/>
      <c r="L27" s="143"/>
      <c r="M27" s="135"/>
    </row>
    <row r="28" spans="1:13" ht="92.25" customHeight="1" thickBot="1">
      <c r="A28" s="76" t="s">
        <v>552</v>
      </c>
      <c r="B28" s="77">
        <f>G7/$G$8*100</f>
        <v>0.94492109962191051</v>
      </c>
      <c r="C28" s="84"/>
      <c r="D28" s="76" t="s">
        <v>552</v>
      </c>
      <c r="E28" s="78">
        <f>E7/$E$8*100</f>
        <v>8.9474651345485903</v>
      </c>
      <c r="F28" s="135"/>
      <c r="G28" s="135"/>
      <c r="H28" s="135"/>
      <c r="I28" s="143"/>
      <c r="J28" s="143"/>
      <c r="K28" s="143"/>
      <c r="L28" s="143"/>
      <c r="M28" s="135"/>
    </row>
    <row r="29" spans="1:13" ht="16.5" thickBot="1">
      <c r="A29" s="135"/>
      <c r="B29" s="158">
        <f>SUM(B24:B28)</f>
        <v>99.999999999999986</v>
      </c>
      <c r="C29" s="135"/>
      <c r="D29" s="135"/>
      <c r="E29" s="137">
        <f>SUM(E24:E28)</f>
        <v>99.999999999999972</v>
      </c>
      <c r="F29" s="135"/>
      <c r="G29" s="135"/>
      <c r="H29" s="135"/>
      <c r="I29" s="135"/>
      <c r="J29" s="135"/>
      <c r="K29" s="135"/>
      <c r="L29" s="135"/>
      <c r="M29" s="135"/>
    </row>
    <row r="30" spans="1:13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</row>
    <row r="31" spans="1:13">
      <c r="A31" s="313" t="s">
        <v>587</v>
      </c>
      <c r="B31" s="313"/>
      <c r="C31" s="313"/>
      <c r="D31" s="313"/>
      <c r="E31" s="313"/>
      <c r="F31" s="313"/>
      <c r="G31" s="313"/>
      <c r="H31" s="313"/>
      <c r="I31" s="135"/>
      <c r="J31" s="135"/>
      <c r="K31" s="135"/>
      <c r="L31" s="135"/>
      <c r="M31" s="135"/>
    </row>
    <row r="32" spans="1:13" ht="47.25">
      <c r="A32" s="72" t="s">
        <v>455</v>
      </c>
      <c r="B32" s="72" t="s">
        <v>227</v>
      </c>
      <c r="C32" s="76" t="s">
        <v>586</v>
      </c>
      <c r="D32" s="72" t="s">
        <v>458</v>
      </c>
      <c r="E32" s="76" t="s">
        <v>456</v>
      </c>
      <c r="F32" s="76" t="s">
        <v>689</v>
      </c>
      <c r="G32" s="76" t="s">
        <v>528</v>
      </c>
      <c r="H32" s="76" t="s">
        <v>452</v>
      </c>
      <c r="I32" s="135"/>
      <c r="J32" s="135"/>
      <c r="K32" s="135"/>
      <c r="L32" s="135"/>
      <c r="M32" s="135"/>
    </row>
    <row r="33" spans="1:13">
      <c r="A33" s="136" t="s">
        <v>130</v>
      </c>
      <c r="B33" s="72">
        <v>182699.77</v>
      </c>
      <c r="C33" s="72">
        <v>180800.42319107999</v>
      </c>
      <c r="D33" s="72" t="s">
        <v>422</v>
      </c>
      <c r="E33" s="72" t="s">
        <v>101</v>
      </c>
      <c r="F33" s="72">
        <f>C33</f>
        <v>180800.42319107999</v>
      </c>
      <c r="G33" s="72">
        <v>0.44600000000000001</v>
      </c>
      <c r="H33" s="72">
        <f>F33*G33</f>
        <v>80636.988743221678</v>
      </c>
      <c r="I33" s="135"/>
      <c r="J33" s="135"/>
      <c r="K33" s="135"/>
      <c r="L33" s="135"/>
      <c r="M33" s="135"/>
    </row>
    <row r="34" spans="1:13">
      <c r="A34" s="136" t="s">
        <v>462</v>
      </c>
      <c r="B34" s="72">
        <v>47584068.333333336</v>
      </c>
      <c r="C34" s="72">
        <v>49443853.576887004</v>
      </c>
      <c r="D34" s="72" t="s">
        <v>221</v>
      </c>
      <c r="E34" s="72">
        <v>35.94</v>
      </c>
      <c r="F34" s="72">
        <f>C34*E34/3600</f>
        <v>493614.47154258855</v>
      </c>
      <c r="G34" s="72">
        <v>0.2</v>
      </c>
      <c r="H34" s="72">
        <f>G34*F34</f>
        <v>98722.894308517716</v>
      </c>
      <c r="I34" s="135"/>
      <c r="J34" s="135"/>
      <c r="K34" s="135"/>
      <c r="L34" s="135"/>
      <c r="M34" s="135"/>
    </row>
    <row r="35" spans="1:13">
      <c r="A35" s="136" t="s">
        <v>132</v>
      </c>
      <c r="B35" s="72">
        <v>912444.44444444426</v>
      </c>
      <c r="C35" s="72">
        <v>767514.8711999997</v>
      </c>
      <c r="D35" s="72" t="s">
        <v>222</v>
      </c>
      <c r="E35" s="72">
        <v>40.19</v>
      </c>
      <c r="F35" s="72">
        <f>C35*E35/3600</f>
        <v>8568.4507426466625</v>
      </c>
      <c r="G35" s="72">
        <v>0.27</v>
      </c>
      <c r="H35" s="72">
        <f>G35*F35</f>
        <v>2313.4817005145992</v>
      </c>
      <c r="I35" s="135"/>
      <c r="J35" s="135"/>
      <c r="K35" s="135"/>
      <c r="L35" s="135"/>
      <c r="M35" s="135"/>
    </row>
    <row r="36" spans="1:13">
      <c r="A36" s="136" t="s">
        <v>442</v>
      </c>
      <c r="B36" s="72">
        <v>1345.4482142857141</v>
      </c>
      <c r="C36" s="72">
        <v>1131.7417944524998</v>
      </c>
      <c r="D36" s="72" t="s">
        <v>223</v>
      </c>
      <c r="E36" s="72">
        <v>22.63</v>
      </c>
      <c r="F36" s="72">
        <f>(E36*C36)/3.6</f>
        <v>7114.2546690166855</v>
      </c>
      <c r="G36" s="72">
        <v>0.318</v>
      </c>
      <c r="H36" s="72">
        <f>G36*F36</f>
        <v>2262.332984747306</v>
      </c>
      <c r="I36" s="135"/>
      <c r="J36" s="135"/>
      <c r="K36" s="135"/>
      <c r="L36" s="135"/>
      <c r="M36" s="135"/>
    </row>
    <row r="37" spans="1:13" ht="16.5" thickBot="1">
      <c r="A37" s="136" t="s">
        <v>333</v>
      </c>
      <c r="B37" s="72">
        <v>18463.055827870001</v>
      </c>
      <c r="C37" s="72">
        <v>20098.225289431812</v>
      </c>
      <c r="D37" s="72" t="s">
        <v>423</v>
      </c>
      <c r="E37" s="72" t="s">
        <v>101</v>
      </c>
      <c r="F37" s="77">
        <f>C37*3.6</f>
        <v>72353.611041954529</v>
      </c>
      <c r="G37" s="72">
        <v>9.4E-2</v>
      </c>
      <c r="H37" s="77">
        <f>C37*0.094</f>
        <v>1889.2331772065902</v>
      </c>
      <c r="I37" s="135"/>
      <c r="J37" s="135"/>
      <c r="K37" s="135"/>
      <c r="L37" s="135"/>
      <c r="M37" s="135"/>
    </row>
    <row r="38" spans="1:13" ht="16.5" thickBot="1">
      <c r="A38" s="159"/>
      <c r="B38" s="159"/>
      <c r="C38" s="159"/>
      <c r="D38" s="159"/>
      <c r="E38" s="159"/>
      <c r="F38" s="79">
        <f>SUM(F33:F37)</f>
        <v>762451.21118728642</v>
      </c>
      <c r="G38" s="159"/>
      <c r="H38" s="137">
        <f>SUM(H33:H37)</f>
        <v>185824.93091420789</v>
      </c>
      <c r="I38" s="135"/>
      <c r="J38" s="135"/>
      <c r="K38" s="135"/>
      <c r="L38" s="135"/>
      <c r="M38" s="135"/>
    </row>
    <row r="39" spans="1:13">
      <c r="A39" s="143"/>
      <c r="B39" s="143"/>
      <c r="C39" s="143"/>
      <c r="D39" s="143"/>
      <c r="E39" s="143"/>
      <c r="F39" s="143"/>
      <c r="G39" s="143"/>
      <c r="H39" s="143"/>
      <c r="I39" s="143"/>
      <c r="J39" s="135"/>
      <c r="K39" s="135"/>
      <c r="L39" s="135"/>
      <c r="M39" s="135"/>
    </row>
    <row r="40" spans="1:13">
      <c r="A40" s="313" t="s">
        <v>595</v>
      </c>
      <c r="B40" s="313"/>
      <c r="C40" s="313"/>
      <c r="D40" s="313"/>
      <c r="E40" s="313"/>
      <c r="F40" s="313"/>
      <c r="G40" s="313"/>
      <c r="H40" s="313"/>
      <c r="I40" s="143"/>
      <c r="J40" s="135"/>
      <c r="K40" s="135"/>
      <c r="L40" s="135"/>
      <c r="M40" s="135"/>
    </row>
    <row r="41" spans="1:13" ht="47.25">
      <c r="A41" s="72" t="s">
        <v>455</v>
      </c>
      <c r="B41" s="72" t="s">
        <v>227</v>
      </c>
      <c r="C41" s="76" t="s">
        <v>594</v>
      </c>
      <c r="D41" s="72" t="s">
        <v>458</v>
      </c>
      <c r="E41" s="76" t="s">
        <v>456</v>
      </c>
      <c r="F41" s="76" t="s">
        <v>689</v>
      </c>
      <c r="G41" s="76" t="s">
        <v>528</v>
      </c>
      <c r="H41" s="76" t="s">
        <v>452</v>
      </c>
      <c r="I41" s="143"/>
      <c r="J41" s="135"/>
      <c r="K41" s="135"/>
      <c r="L41" s="135"/>
      <c r="M41" s="135"/>
    </row>
    <row r="42" spans="1:13">
      <c r="A42" s="136" t="s">
        <v>130</v>
      </c>
      <c r="B42" s="72">
        <v>182699.77</v>
      </c>
      <c r="C42" s="72">
        <v>169008.70598562495</v>
      </c>
      <c r="D42" s="72" t="s">
        <v>422</v>
      </c>
      <c r="E42" s="72" t="s">
        <v>101</v>
      </c>
      <c r="F42" s="72">
        <f>C42</f>
        <v>169008.70598562495</v>
      </c>
      <c r="G42" s="72">
        <v>0.44600000000000001</v>
      </c>
      <c r="H42" s="72">
        <f>F42*G42</f>
        <v>75377.882869588735</v>
      </c>
      <c r="I42" s="143"/>
      <c r="J42" s="135"/>
      <c r="K42" s="135"/>
      <c r="L42" s="135"/>
      <c r="M42" s="135"/>
    </row>
    <row r="43" spans="1:13">
      <c r="A43" s="136" t="s">
        <v>462</v>
      </c>
      <c r="B43" s="72">
        <v>47584068.333333336</v>
      </c>
      <c r="C43" s="72">
        <v>48420060.933864579</v>
      </c>
      <c r="D43" s="72" t="s">
        <v>221</v>
      </c>
      <c r="E43" s="72">
        <v>35.94</v>
      </c>
      <c r="F43" s="72">
        <f>C43*E43/3600</f>
        <v>483393.60832308134</v>
      </c>
      <c r="G43" s="72">
        <v>0.2</v>
      </c>
      <c r="H43" s="72">
        <f>G43*F43</f>
        <v>96678.721664616271</v>
      </c>
      <c r="I43" s="143"/>
      <c r="J43" s="135"/>
      <c r="K43" s="135"/>
      <c r="L43" s="135"/>
      <c r="M43" s="135"/>
    </row>
    <row r="44" spans="1:13">
      <c r="A44" s="136" t="s">
        <v>132</v>
      </c>
      <c r="B44" s="72">
        <v>912444.44444444426</v>
      </c>
      <c r="C44" s="72">
        <v>633051.1041666664</v>
      </c>
      <c r="D44" s="72" t="s">
        <v>222</v>
      </c>
      <c r="E44" s="72">
        <v>40.19</v>
      </c>
      <c r="F44" s="72">
        <f>C44*E44/3600</f>
        <v>7067.3121879050886</v>
      </c>
      <c r="G44" s="72">
        <v>0.27</v>
      </c>
      <c r="H44" s="72">
        <f>G44*F44</f>
        <v>1908.1742907343742</v>
      </c>
      <c r="I44" s="143"/>
      <c r="J44" s="135"/>
      <c r="K44" s="135"/>
      <c r="L44" s="135"/>
      <c r="M44" s="135"/>
    </row>
    <row r="45" spans="1:13">
      <c r="A45" s="136" t="s">
        <v>442</v>
      </c>
      <c r="B45" s="72">
        <v>1345.4482142857141</v>
      </c>
      <c r="C45" s="72">
        <v>933.46776654575876</v>
      </c>
      <c r="D45" s="72" t="s">
        <v>223</v>
      </c>
      <c r="E45" s="72">
        <v>22.63</v>
      </c>
      <c r="F45" s="72">
        <f>(E45*C45)/3.6</f>
        <v>5867.8820991473667</v>
      </c>
      <c r="G45" s="72">
        <v>0.318</v>
      </c>
      <c r="H45" s="72">
        <f>G45*F45</f>
        <v>1865.9865075288626</v>
      </c>
      <c r="I45" s="143"/>
      <c r="J45" s="135"/>
      <c r="K45" s="135"/>
      <c r="L45" s="135"/>
      <c r="M45" s="135"/>
    </row>
    <row r="46" spans="1:13" ht="16.5" thickBot="1">
      <c r="A46" s="136" t="s">
        <v>333</v>
      </c>
      <c r="B46" s="72">
        <v>18463.055827870001</v>
      </c>
      <c r="C46" s="72">
        <v>19641.402669034338</v>
      </c>
      <c r="D46" s="72" t="s">
        <v>423</v>
      </c>
      <c r="E46" s="72" t="s">
        <v>101</v>
      </c>
      <c r="F46" s="77">
        <f>C46*3.6</f>
        <v>70709.049608523623</v>
      </c>
      <c r="G46" s="72">
        <v>9.4E-2</v>
      </c>
      <c r="H46" s="77">
        <f>C46*0.094</f>
        <v>1846.2918508892278</v>
      </c>
      <c r="I46" s="143"/>
      <c r="J46" s="135"/>
      <c r="K46" s="135"/>
      <c r="L46" s="135"/>
      <c r="M46" s="135"/>
    </row>
    <row r="47" spans="1:13" ht="16.5" thickBot="1">
      <c r="A47" s="159"/>
      <c r="B47" s="159"/>
      <c r="C47" s="159"/>
      <c r="D47" s="159"/>
      <c r="E47" s="159"/>
      <c r="F47" s="79">
        <f>SUM(F42:F46)</f>
        <v>736046.55820428242</v>
      </c>
      <c r="G47" s="159"/>
      <c r="H47" s="137">
        <f>SUM(H42:H46)</f>
        <v>177677.05718335745</v>
      </c>
      <c r="I47" s="143"/>
      <c r="J47" s="135"/>
      <c r="K47" s="135"/>
      <c r="L47" s="135"/>
      <c r="M47" s="135"/>
    </row>
    <row r="48" spans="1:13">
      <c r="A48" s="143"/>
      <c r="B48" s="143"/>
      <c r="C48" s="143"/>
      <c r="D48" s="143"/>
      <c r="E48" s="143"/>
      <c r="F48" s="143"/>
      <c r="G48" s="143"/>
      <c r="H48" s="143"/>
      <c r="I48" s="143"/>
      <c r="J48" s="135"/>
      <c r="K48" s="135"/>
      <c r="L48" s="135"/>
      <c r="M48" s="135"/>
    </row>
    <row r="49" spans="1:13">
      <c r="A49" s="313" t="s">
        <v>597</v>
      </c>
      <c r="B49" s="313"/>
      <c r="C49" s="313"/>
      <c r="D49" s="313"/>
      <c r="E49" s="313"/>
      <c r="F49" s="313"/>
      <c r="G49" s="313"/>
      <c r="H49" s="313"/>
      <c r="I49" s="143"/>
      <c r="J49" s="135"/>
      <c r="K49" s="135"/>
      <c r="L49" s="135"/>
      <c r="M49" s="135"/>
    </row>
    <row r="50" spans="1:13" ht="47.25">
      <c r="A50" s="72" t="s">
        <v>455</v>
      </c>
      <c r="B50" s="72" t="s">
        <v>227</v>
      </c>
      <c r="C50" s="76" t="s">
        <v>596</v>
      </c>
      <c r="D50" s="72" t="s">
        <v>458</v>
      </c>
      <c r="E50" s="76" t="s">
        <v>456</v>
      </c>
      <c r="F50" s="76" t="s">
        <v>689</v>
      </c>
      <c r="G50" s="76" t="s">
        <v>528</v>
      </c>
      <c r="H50" s="76" t="s">
        <v>452</v>
      </c>
      <c r="I50" s="143"/>
      <c r="J50" s="135"/>
      <c r="K50" s="135"/>
      <c r="L50" s="135"/>
      <c r="M50" s="135"/>
    </row>
    <row r="51" spans="1:13">
      <c r="A51" s="136" t="s">
        <v>130</v>
      </c>
      <c r="B51" s="72">
        <v>182699.77</v>
      </c>
      <c r="C51" s="72">
        <v>152426.41811100001</v>
      </c>
      <c r="D51" s="72" t="s">
        <v>422</v>
      </c>
      <c r="E51" s="72" t="s">
        <v>101</v>
      </c>
      <c r="F51" s="72">
        <f>C51</f>
        <v>152426.41811100001</v>
      </c>
      <c r="G51" s="72">
        <v>0.44600000000000001</v>
      </c>
      <c r="H51" s="72">
        <f>F51*G51</f>
        <v>67982.182477506009</v>
      </c>
      <c r="I51" s="143"/>
      <c r="J51" s="135"/>
      <c r="K51" s="135"/>
      <c r="L51" s="135"/>
      <c r="M51" s="135"/>
    </row>
    <row r="52" spans="1:13">
      <c r="A52" s="136" t="s">
        <v>462</v>
      </c>
      <c r="B52" s="72">
        <v>47584068.333333336</v>
      </c>
      <c r="C52" s="72">
        <v>45654296.442074999</v>
      </c>
      <c r="D52" s="72" t="s">
        <v>221</v>
      </c>
      <c r="E52" s="72">
        <v>35.94</v>
      </c>
      <c r="F52" s="72">
        <f>C52*E52/3600</f>
        <v>455782.05948004866</v>
      </c>
      <c r="G52" s="72">
        <v>0.2</v>
      </c>
      <c r="H52" s="72">
        <f>G52*F52</f>
        <v>91156.41189600974</v>
      </c>
      <c r="I52" s="143"/>
      <c r="J52" s="135"/>
      <c r="K52" s="135"/>
      <c r="L52" s="135"/>
      <c r="M52" s="135"/>
    </row>
    <row r="53" spans="1:13">
      <c r="A53" s="136" t="s">
        <v>132</v>
      </c>
      <c r="B53" s="72">
        <v>912444.44444444426</v>
      </c>
      <c r="C53" s="72">
        <v>494814.06</v>
      </c>
      <c r="D53" s="72" t="s">
        <v>222</v>
      </c>
      <c r="E53" s="72">
        <v>40.19</v>
      </c>
      <c r="F53" s="72">
        <f>C53*E53/3600</f>
        <v>5524.0491864999995</v>
      </c>
      <c r="G53" s="72">
        <v>0.27</v>
      </c>
      <c r="H53" s="72">
        <f>G53*F53</f>
        <v>1491.493280355</v>
      </c>
      <c r="I53" s="143"/>
      <c r="J53" s="135"/>
      <c r="K53" s="135"/>
      <c r="L53" s="135"/>
      <c r="M53" s="135"/>
    </row>
    <row r="54" spans="1:13">
      <c r="A54" s="136" t="s">
        <v>442</v>
      </c>
      <c r="B54" s="72">
        <v>1345.4482142857141</v>
      </c>
      <c r="C54" s="72">
        <v>729.62983936607145</v>
      </c>
      <c r="D54" s="72" t="s">
        <v>223</v>
      </c>
      <c r="E54" s="72">
        <v>22.63</v>
      </c>
      <c r="F54" s="72">
        <f>(E54*C54)/3.6</f>
        <v>4586.5342402372771</v>
      </c>
      <c r="G54" s="72">
        <v>0.318</v>
      </c>
      <c r="H54" s="72">
        <f>G54*F54</f>
        <v>1458.5178883954541</v>
      </c>
      <c r="I54" s="143"/>
      <c r="J54" s="135"/>
      <c r="K54" s="135"/>
      <c r="L54" s="135"/>
      <c r="M54" s="135"/>
    </row>
    <row r="55" spans="1:13" ht="16.5" thickBot="1">
      <c r="A55" s="136" t="s">
        <v>333</v>
      </c>
      <c r="B55" s="72">
        <v>18463.055827870001</v>
      </c>
      <c r="C55" s="72">
        <v>18484.47297263033</v>
      </c>
      <c r="D55" s="72" t="s">
        <v>423</v>
      </c>
      <c r="E55" s="72" t="s">
        <v>101</v>
      </c>
      <c r="F55" s="77">
        <f>C55*3.6</f>
        <v>66544.102701469194</v>
      </c>
      <c r="G55" s="72">
        <v>9.4E-2</v>
      </c>
      <c r="H55" s="77">
        <f>C55*0.094</f>
        <v>1737.5404594272511</v>
      </c>
      <c r="I55" s="143"/>
      <c r="J55" s="135"/>
      <c r="K55" s="135"/>
      <c r="L55" s="135"/>
      <c r="M55" s="135"/>
    </row>
    <row r="56" spans="1:13" ht="16.5" thickBot="1">
      <c r="A56" s="159"/>
      <c r="B56" s="159"/>
      <c r="C56" s="159"/>
      <c r="D56" s="159"/>
      <c r="E56" s="159"/>
      <c r="F56" s="79">
        <f>SUM(F51:F55)</f>
        <v>684863.16371925524</v>
      </c>
      <c r="G56" s="159"/>
      <c r="H56" s="137">
        <f>SUM(H51:H55)</f>
        <v>163826.14600169347</v>
      </c>
      <c r="I56" s="143"/>
      <c r="J56" s="135"/>
      <c r="K56" s="135"/>
      <c r="L56" s="135"/>
      <c r="M56" s="135"/>
    </row>
    <row r="57" spans="1:13">
      <c r="A57" s="143"/>
      <c r="B57" s="143"/>
      <c r="C57" s="143"/>
      <c r="D57" s="143"/>
      <c r="E57" s="143"/>
      <c r="F57" s="143"/>
      <c r="G57" s="143"/>
      <c r="H57" s="143"/>
      <c r="I57" s="143"/>
      <c r="J57" s="135"/>
      <c r="K57" s="135"/>
      <c r="L57" s="135"/>
      <c r="M57" s="135"/>
    </row>
    <row r="58" spans="1:13">
      <c r="A58" s="308" t="s">
        <v>647</v>
      </c>
      <c r="B58" s="308"/>
      <c r="C58" s="308"/>
      <c r="D58" s="308"/>
      <c r="E58" s="308"/>
      <c r="F58" s="308"/>
      <c r="G58" s="308"/>
      <c r="H58" s="143"/>
      <c r="I58" s="143"/>
      <c r="J58" s="135"/>
      <c r="K58" s="135"/>
      <c r="L58" s="135"/>
      <c r="M58" s="135"/>
    </row>
    <row r="59" spans="1:13" ht="59.25" customHeight="1">
      <c r="A59" s="72" t="s">
        <v>455</v>
      </c>
      <c r="B59" s="72" t="s">
        <v>227</v>
      </c>
      <c r="C59" s="72" t="s">
        <v>458</v>
      </c>
      <c r="D59" s="76" t="s">
        <v>456</v>
      </c>
      <c r="E59" s="76" t="s">
        <v>689</v>
      </c>
      <c r="F59" s="76" t="s">
        <v>606</v>
      </c>
      <c r="G59" s="76" t="s">
        <v>607</v>
      </c>
      <c r="H59" s="143"/>
      <c r="I59" s="143"/>
      <c r="J59" s="135"/>
      <c r="K59" s="135"/>
      <c r="L59" s="135"/>
      <c r="M59" s="135"/>
    </row>
    <row r="60" spans="1:13">
      <c r="A60" s="136" t="s">
        <v>130</v>
      </c>
      <c r="B60" s="72">
        <v>182699.77</v>
      </c>
      <c r="C60" s="72" t="s">
        <v>422</v>
      </c>
      <c r="D60" s="72" t="s">
        <v>101</v>
      </c>
      <c r="E60" s="72">
        <f>B60</f>
        <v>182699.77</v>
      </c>
      <c r="F60" s="72">
        <v>4.92</v>
      </c>
      <c r="G60" s="72">
        <f>E60*F60</f>
        <v>898882.86839999992</v>
      </c>
      <c r="H60" s="143"/>
      <c r="I60" s="143"/>
      <c r="J60" s="135"/>
      <c r="K60" s="135"/>
      <c r="L60" s="135"/>
      <c r="M60" s="135"/>
    </row>
    <row r="61" spans="1:13">
      <c r="A61" s="136" t="s">
        <v>462</v>
      </c>
      <c r="B61" s="72">
        <v>47584068.333333336</v>
      </c>
      <c r="C61" s="72" t="s">
        <v>221</v>
      </c>
      <c r="D61" s="72">
        <v>35.94</v>
      </c>
      <c r="E61" s="72">
        <f>B61*D61/3600</f>
        <v>475047.61552777782</v>
      </c>
      <c r="F61" s="72">
        <v>0.42</v>
      </c>
      <c r="G61" s="72">
        <f>F61*E61</f>
        <v>199519.99852166668</v>
      </c>
      <c r="H61" s="143"/>
      <c r="I61" s="143"/>
      <c r="J61" s="135"/>
      <c r="K61" s="135"/>
      <c r="L61" s="135"/>
      <c r="M61" s="135"/>
    </row>
    <row r="62" spans="1:13">
      <c r="A62" s="136" t="s">
        <v>132</v>
      </c>
      <c r="B62" s="72">
        <v>912444.44444444426</v>
      </c>
      <c r="C62" s="72" t="s">
        <v>222</v>
      </c>
      <c r="D62" s="72">
        <v>40.19</v>
      </c>
      <c r="E62" s="72">
        <f>B62*D62/3600</f>
        <v>10186.428395061726</v>
      </c>
      <c r="F62" s="72">
        <v>3.26</v>
      </c>
      <c r="G62" s="72">
        <f>F62*E62</f>
        <v>33207.756567901226</v>
      </c>
      <c r="H62" s="143"/>
      <c r="I62" s="143"/>
      <c r="J62" s="135"/>
      <c r="K62" s="135"/>
      <c r="L62" s="135"/>
      <c r="M62" s="135"/>
    </row>
    <row r="63" spans="1:13">
      <c r="A63" s="136" t="s">
        <v>442</v>
      </c>
      <c r="B63" s="72">
        <v>1345.4482142857141</v>
      </c>
      <c r="C63" s="72" t="s">
        <v>223</v>
      </c>
      <c r="D63" s="72">
        <v>22.63</v>
      </c>
      <c r="E63" s="72">
        <f>(D63*B63)/3.6</f>
        <v>8457.6369692460303</v>
      </c>
      <c r="F63" s="72">
        <v>3.56</v>
      </c>
      <c r="G63" s="72">
        <f>F63*E63</f>
        <v>30109.18761051587</v>
      </c>
      <c r="H63" s="143"/>
      <c r="I63" s="143"/>
      <c r="J63" s="135"/>
      <c r="K63" s="135"/>
      <c r="L63" s="135"/>
      <c r="M63" s="135"/>
    </row>
    <row r="64" spans="1:13" ht="16.5" thickBot="1">
      <c r="A64" s="136" t="s">
        <v>333</v>
      </c>
      <c r="B64" s="72">
        <v>18463.055827870001</v>
      </c>
      <c r="C64" s="72" t="s">
        <v>423</v>
      </c>
      <c r="D64" s="72" t="s">
        <v>101</v>
      </c>
      <c r="E64" s="77">
        <f>B64*3.6</f>
        <v>66467.000980331999</v>
      </c>
      <c r="F64" s="72">
        <v>1.64</v>
      </c>
      <c r="G64" s="77">
        <f>E64*F64</f>
        <v>109005.88160774448</v>
      </c>
      <c r="H64" s="143"/>
      <c r="I64" s="143"/>
      <c r="J64" s="135"/>
      <c r="K64" s="135"/>
      <c r="L64" s="135"/>
      <c r="M64" s="135"/>
    </row>
    <row r="65" spans="1:13" ht="16.5" thickBot="1">
      <c r="A65" s="159"/>
      <c r="B65" s="159"/>
      <c r="C65" s="159"/>
      <c r="D65" s="159"/>
      <c r="E65" s="79">
        <f>SUM(E60:E64)</f>
        <v>742858.4518724177</v>
      </c>
      <c r="F65" s="159"/>
      <c r="G65" s="137">
        <f>SUM(G60:G64)</f>
        <v>1270725.692707828</v>
      </c>
      <c r="H65" s="143"/>
      <c r="I65" s="143"/>
      <c r="J65" s="135"/>
      <c r="K65" s="135"/>
      <c r="L65" s="135"/>
      <c r="M65" s="135"/>
    </row>
    <row r="66" spans="1:13">
      <c r="A66" s="135"/>
      <c r="B66" s="135"/>
      <c r="C66" s="135"/>
      <c r="D66" s="135"/>
      <c r="E66" s="135"/>
      <c r="F66" s="135"/>
      <c r="G66" s="135"/>
      <c r="H66" s="135"/>
      <c r="I66" s="135"/>
      <c r="J66" s="135"/>
      <c r="K66" s="135"/>
      <c r="L66" s="135"/>
      <c r="M66" s="135"/>
    </row>
    <row r="67" spans="1:13">
      <c r="A67" s="308" t="s">
        <v>608</v>
      </c>
      <c r="B67" s="308"/>
      <c r="C67" s="308"/>
      <c r="D67" s="308"/>
      <c r="E67" s="308"/>
      <c r="F67" s="308"/>
      <c r="G67" s="308"/>
      <c r="H67" s="308"/>
      <c r="I67" s="135"/>
      <c r="J67" s="135"/>
      <c r="K67" s="135"/>
      <c r="L67" s="135"/>
      <c r="M67" s="135"/>
    </row>
    <row r="68" spans="1:13" ht="47.25">
      <c r="A68" s="72" t="s">
        <v>455</v>
      </c>
      <c r="B68" s="72" t="s">
        <v>227</v>
      </c>
      <c r="C68" s="76" t="s">
        <v>596</v>
      </c>
      <c r="D68" s="72" t="s">
        <v>458</v>
      </c>
      <c r="E68" s="76" t="s">
        <v>456</v>
      </c>
      <c r="F68" s="76" t="s">
        <v>689</v>
      </c>
      <c r="G68" s="76" t="s">
        <v>606</v>
      </c>
      <c r="H68" s="76" t="s">
        <v>607</v>
      </c>
      <c r="I68" s="135"/>
      <c r="J68" s="135"/>
      <c r="K68" s="135"/>
      <c r="L68" s="135"/>
      <c r="M68" s="135"/>
    </row>
    <row r="69" spans="1:13">
      <c r="A69" s="136" t="s">
        <v>130</v>
      </c>
      <c r="B69" s="72">
        <v>182699.77</v>
      </c>
      <c r="C69" s="72">
        <v>152426.41811100001</v>
      </c>
      <c r="D69" s="72" t="s">
        <v>422</v>
      </c>
      <c r="E69" s="72" t="s">
        <v>101</v>
      </c>
      <c r="F69" s="72">
        <f>C69</f>
        <v>152426.41811100001</v>
      </c>
      <c r="G69" s="72">
        <v>4.92</v>
      </c>
      <c r="H69" s="72">
        <f>F69*G69</f>
        <v>749937.97710611997</v>
      </c>
      <c r="I69" s="135"/>
      <c r="J69" s="135"/>
      <c r="K69" s="135"/>
      <c r="L69" s="135"/>
      <c r="M69" s="135"/>
    </row>
    <row r="70" spans="1:13">
      <c r="A70" s="136" t="s">
        <v>462</v>
      </c>
      <c r="B70" s="72">
        <v>47584068.333333336</v>
      </c>
      <c r="C70" s="72">
        <v>45654296.442074999</v>
      </c>
      <c r="D70" s="72" t="s">
        <v>221</v>
      </c>
      <c r="E70" s="72">
        <v>35.94</v>
      </c>
      <c r="F70" s="72">
        <f>C70*E70/3600</f>
        <v>455782.05948004866</v>
      </c>
      <c r="G70" s="72">
        <v>0.42</v>
      </c>
      <c r="H70" s="72">
        <f>G70*F70</f>
        <v>191428.46498162043</v>
      </c>
      <c r="I70" s="135"/>
      <c r="J70" s="135"/>
      <c r="K70" s="135"/>
      <c r="L70" s="135"/>
      <c r="M70" s="135"/>
    </row>
    <row r="71" spans="1:13">
      <c r="A71" s="136" t="s">
        <v>132</v>
      </c>
      <c r="B71" s="72">
        <v>912444.44444444426</v>
      </c>
      <c r="C71" s="72">
        <v>494814.06</v>
      </c>
      <c r="D71" s="72" t="s">
        <v>222</v>
      </c>
      <c r="E71" s="72">
        <v>40.19</v>
      </c>
      <c r="F71" s="72">
        <f>C71*E71/3600</f>
        <v>5524.0491864999995</v>
      </c>
      <c r="G71" s="72">
        <v>3.26</v>
      </c>
      <c r="H71" s="72">
        <f>G71*F71</f>
        <v>18008.400347989998</v>
      </c>
      <c r="I71" s="135"/>
      <c r="J71" s="135"/>
      <c r="K71" s="135"/>
      <c r="L71" s="135"/>
      <c r="M71" s="135"/>
    </row>
    <row r="72" spans="1:13">
      <c r="A72" s="136" t="s">
        <v>442</v>
      </c>
      <c r="B72" s="72">
        <v>1345.4482142857141</v>
      </c>
      <c r="C72" s="72">
        <v>729.62983936607145</v>
      </c>
      <c r="D72" s="72" t="s">
        <v>223</v>
      </c>
      <c r="E72" s="72">
        <v>22.63</v>
      </c>
      <c r="F72" s="72">
        <f>(E72*C72)/3.6</f>
        <v>4586.5342402372771</v>
      </c>
      <c r="G72" s="72">
        <v>3.56</v>
      </c>
      <c r="H72" s="72">
        <f>G72*F72</f>
        <v>16328.061895244708</v>
      </c>
      <c r="I72" s="135"/>
      <c r="J72" s="135"/>
      <c r="K72" s="135"/>
      <c r="L72" s="135"/>
      <c r="M72" s="135"/>
    </row>
    <row r="73" spans="1:13" ht="16.5" thickBot="1">
      <c r="A73" s="136" t="s">
        <v>333</v>
      </c>
      <c r="B73" s="72">
        <v>18463.055827870001</v>
      </c>
      <c r="C73" s="72">
        <v>18484.47297263033</v>
      </c>
      <c r="D73" s="72" t="s">
        <v>423</v>
      </c>
      <c r="E73" s="72" t="s">
        <v>101</v>
      </c>
      <c r="F73" s="77">
        <f>C73*3.6</f>
        <v>66544.102701469194</v>
      </c>
      <c r="G73" s="72">
        <v>1.64</v>
      </c>
      <c r="H73" s="77">
        <f>F73*G73</f>
        <v>109132.32843040947</v>
      </c>
      <c r="I73" s="135"/>
      <c r="J73" s="135"/>
      <c r="K73" s="135"/>
      <c r="L73" s="135"/>
      <c r="M73" s="135"/>
    </row>
    <row r="74" spans="1:13" ht="16.5" thickBot="1">
      <c r="A74" s="159"/>
      <c r="B74" s="159"/>
      <c r="C74" s="159"/>
      <c r="D74" s="159"/>
      <c r="E74" s="159"/>
      <c r="F74" s="79">
        <f>SUM(F69:F73)</f>
        <v>684863.16371925524</v>
      </c>
      <c r="G74" s="159"/>
      <c r="H74" s="137">
        <f>SUM(H69:H73)</f>
        <v>1084835.2327613847</v>
      </c>
      <c r="I74" s="135"/>
      <c r="J74" s="135"/>
      <c r="K74" s="135"/>
      <c r="L74" s="135"/>
      <c r="M74" s="135"/>
    </row>
    <row r="75" spans="1:13">
      <c r="A75" s="135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</row>
    <row r="76" spans="1:13">
      <c r="A76" s="331" t="s">
        <v>648</v>
      </c>
      <c r="B76" s="331"/>
      <c r="C76" s="331"/>
      <c r="D76" s="331"/>
      <c r="E76" s="331"/>
      <c r="F76" s="331"/>
      <c r="G76" s="331"/>
      <c r="H76" s="135"/>
      <c r="I76" s="135"/>
      <c r="J76" s="135"/>
      <c r="K76" s="135"/>
      <c r="L76" s="135"/>
      <c r="M76" s="135"/>
    </row>
    <row r="77" spans="1:13" ht="82.5" customHeight="1">
      <c r="A77" s="72" t="s">
        <v>455</v>
      </c>
      <c r="B77" s="72" t="s">
        <v>227</v>
      </c>
      <c r="C77" s="72" t="s">
        <v>458</v>
      </c>
      <c r="D77" s="76" t="s">
        <v>620</v>
      </c>
      <c r="E77" s="76" t="s">
        <v>689</v>
      </c>
      <c r="F77" s="76" t="s">
        <v>625</v>
      </c>
      <c r="G77" s="76" t="s">
        <v>622</v>
      </c>
      <c r="H77" s="135"/>
      <c r="I77" s="135"/>
      <c r="J77" s="135"/>
      <c r="K77" s="135"/>
      <c r="L77" s="135"/>
      <c r="M77" s="135"/>
    </row>
    <row r="78" spans="1:13">
      <c r="A78" s="136" t="s">
        <v>130</v>
      </c>
      <c r="B78" s="72">
        <v>182699.77</v>
      </c>
      <c r="C78" s="72" t="s">
        <v>422</v>
      </c>
      <c r="D78" s="72" t="s">
        <v>101</v>
      </c>
      <c r="E78" s="72">
        <f>B78</f>
        <v>182699.77</v>
      </c>
      <c r="F78" s="72">
        <v>0</v>
      </c>
      <c r="G78" s="72">
        <f>E78*F78</f>
        <v>0</v>
      </c>
      <c r="H78" s="135"/>
      <c r="I78" s="135"/>
      <c r="J78" s="135"/>
      <c r="K78" s="135"/>
      <c r="L78" s="135"/>
      <c r="M78" s="135"/>
    </row>
    <row r="79" spans="1:13">
      <c r="A79" s="136" t="s">
        <v>462</v>
      </c>
      <c r="B79" s="72">
        <v>47584068.333333336</v>
      </c>
      <c r="C79" s="72" t="s">
        <v>221</v>
      </c>
      <c r="D79" s="72">
        <v>35.94</v>
      </c>
      <c r="E79" s="72">
        <f>B79*D79/3600</f>
        <v>475047.61552777782</v>
      </c>
      <c r="F79" s="102">
        <v>5.0000000000000001E-4</v>
      </c>
      <c r="G79" s="72">
        <f>F79*B79</f>
        <v>23792.034166666668</v>
      </c>
      <c r="H79" s="135"/>
      <c r="I79" s="135"/>
      <c r="J79" s="135"/>
      <c r="K79" s="135"/>
      <c r="L79" s="135"/>
      <c r="M79" s="135"/>
    </row>
    <row r="80" spans="1:13">
      <c r="A80" s="136" t="s">
        <v>132</v>
      </c>
      <c r="B80" s="72">
        <v>912.44444444444423</v>
      </c>
      <c r="C80" s="72" t="s">
        <v>221</v>
      </c>
      <c r="D80" s="72">
        <v>40.19</v>
      </c>
      <c r="E80" s="72">
        <f>B80*D80/3.6</f>
        <v>10186.428395061725</v>
      </c>
      <c r="F80" s="102">
        <v>0.31140000000000001</v>
      </c>
      <c r="G80" s="72">
        <f>F80*B80</f>
        <v>284.13519999999994</v>
      </c>
      <c r="H80" s="135"/>
      <c r="I80" s="135"/>
      <c r="J80" s="135"/>
      <c r="K80" s="135"/>
      <c r="L80" s="135"/>
      <c r="M80" s="135"/>
    </row>
    <row r="81" spans="1:13">
      <c r="A81" s="136" t="s">
        <v>442</v>
      </c>
      <c r="B81" s="72">
        <v>1345.4482142857141</v>
      </c>
      <c r="C81" s="72" t="s">
        <v>223</v>
      </c>
      <c r="D81" s="72">
        <v>22.63</v>
      </c>
      <c r="E81" s="72">
        <f>(D81*B81)/3.6</f>
        <v>8457.6369692460303</v>
      </c>
      <c r="F81" s="102">
        <v>14</v>
      </c>
      <c r="G81" s="72">
        <f>F81*B81</f>
        <v>18836.274999999998</v>
      </c>
      <c r="H81" s="135"/>
      <c r="I81" s="135"/>
      <c r="J81" s="135"/>
      <c r="K81" s="135"/>
      <c r="L81" s="135"/>
      <c r="M81" s="135"/>
    </row>
    <row r="82" spans="1:13" ht="16.5" thickBot="1">
      <c r="A82" s="136" t="s">
        <v>333</v>
      </c>
      <c r="B82" s="72">
        <v>18463.055827870001</v>
      </c>
      <c r="C82" s="72" t="s">
        <v>423</v>
      </c>
      <c r="D82" s="72" t="s">
        <v>101</v>
      </c>
      <c r="E82" s="77">
        <f>B82*3.6</f>
        <v>66467.000980331999</v>
      </c>
      <c r="F82" s="102">
        <v>5.0000000000000001E-4</v>
      </c>
      <c r="G82" s="77">
        <f>B82*F82</f>
        <v>9.2315279139350004</v>
      </c>
      <c r="H82" s="135"/>
      <c r="I82" s="135"/>
      <c r="J82" s="135"/>
      <c r="K82" s="135"/>
      <c r="L82" s="135"/>
      <c r="M82" s="135"/>
    </row>
    <row r="83" spans="1:13" ht="16.5" thickBot="1">
      <c r="A83" s="159"/>
      <c r="B83" s="159"/>
      <c r="C83" s="159"/>
      <c r="D83" s="159"/>
      <c r="E83" s="79">
        <f>SUM(E78:E82)</f>
        <v>742858.4518724177</v>
      </c>
      <c r="F83" s="159"/>
      <c r="G83" s="137">
        <f>SUM(G78:G82)</f>
        <v>42921.6758945806</v>
      </c>
      <c r="H83" s="135"/>
      <c r="I83" s="135"/>
      <c r="J83" s="135"/>
      <c r="K83" s="135"/>
      <c r="L83" s="135"/>
      <c r="M83" s="135"/>
    </row>
    <row r="84" spans="1:13">
      <c r="A84" s="135"/>
      <c r="B84" s="135"/>
      <c r="C84" s="135"/>
      <c r="D84" s="135"/>
      <c r="E84" s="135"/>
      <c r="F84" s="135"/>
      <c r="G84" s="135"/>
      <c r="H84" s="135"/>
      <c r="I84" s="135"/>
      <c r="J84" s="135"/>
      <c r="K84" s="135"/>
      <c r="L84" s="135"/>
      <c r="M84" s="135"/>
    </row>
    <row r="85" spans="1:13">
      <c r="A85" s="331" t="s">
        <v>629</v>
      </c>
      <c r="B85" s="331"/>
      <c r="C85" s="331"/>
      <c r="D85" s="331"/>
      <c r="E85" s="331"/>
      <c r="F85" s="331"/>
      <c r="G85" s="331"/>
      <c r="H85" s="331"/>
      <c r="I85" s="135"/>
      <c r="J85" s="135"/>
      <c r="K85" s="135"/>
      <c r="L85" s="135"/>
      <c r="M85" s="135"/>
    </row>
    <row r="86" spans="1:13" ht="60.75" customHeight="1">
      <c r="A86" s="72" t="s">
        <v>455</v>
      </c>
      <c r="B86" s="72" t="s">
        <v>227</v>
      </c>
      <c r="C86" s="76" t="s">
        <v>596</v>
      </c>
      <c r="D86" s="72" t="s">
        <v>458</v>
      </c>
      <c r="E86" s="76" t="s">
        <v>620</v>
      </c>
      <c r="F86" s="76" t="s">
        <v>689</v>
      </c>
      <c r="G86" s="76" t="s">
        <v>625</v>
      </c>
      <c r="H86" s="76" t="s">
        <v>622</v>
      </c>
      <c r="I86" s="135"/>
      <c r="J86" s="135"/>
      <c r="K86" s="135"/>
      <c r="L86" s="135"/>
      <c r="M86" s="135"/>
    </row>
    <row r="87" spans="1:13">
      <c r="A87" s="136" t="s">
        <v>130</v>
      </c>
      <c r="B87" s="72">
        <v>182699.77</v>
      </c>
      <c r="C87" s="72">
        <v>152426.41811100001</v>
      </c>
      <c r="D87" s="72" t="s">
        <v>422</v>
      </c>
      <c r="E87" s="72" t="s">
        <v>101</v>
      </c>
      <c r="F87" s="72">
        <f>C87</f>
        <v>152426.41811100001</v>
      </c>
      <c r="G87" s="72">
        <v>0</v>
      </c>
      <c r="H87" s="72">
        <f>F87*G87</f>
        <v>0</v>
      </c>
      <c r="I87" s="135"/>
      <c r="J87" s="135"/>
      <c r="K87" s="135"/>
      <c r="L87" s="135"/>
      <c r="M87" s="135"/>
    </row>
    <row r="88" spans="1:13">
      <c r="A88" s="136" t="s">
        <v>462</v>
      </c>
      <c r="B88" s="72">
        <v>47584068.333333336</v>
      </c>
      <c r="C88" s="72">
        <v>45654296.442074999</v>
      </c>
      <c r="D88" s="72" t="s">
        <v>221</v>
      </c>
      <c r="E88" s="72">
        <v>35.94</v>
      </c>
      <c r="F88" s="72">
        <f>C88*E88/3600</f>
        <v>455782.05948004866</v>
      </c>
      <c r="G88" s="102">
        <v>5.0000000000000001E-4</v>
      </c>
      <c r="H88" s="72">
        <f>G88*C88</f>
        <v>22827.1482210375</v>
      </c>
      <c r="I88" s="135"/>
      <c r="J88" s="135"/>
      <c r="K88" s="135"/>
      <c r="L88" s="135"/>
      <c r="M88" s="135"/>
    </row>
    <row r="89" spans="1:13">
      <c r="A89" s="136" t="s">
        <v>132</v>
      </c>
      <c r="B89" s="72">
        <v>912.44444444444423</v>
      </c>
      <c r="C89" s="72">
        <v>494.81405999999998</v>
      </c>
      <c r="D89" s="72" t="s">
        <v>222</v>
      </c>
      <c r="E89" s="72">
        <v>40.19</v>
      </c>
      <c r="F89" s="72">
        <f>C89*E89/3.6</f>
        <v>5524.0491864999995</v>
      </c>
      <c r="G89" s="102">
        <v>0.31140000000000001</v>
      </c>
      <c r="H89" s="72">
        <f>G89*C89</f>
        <v>154.085098284</v>
      </c>
      <c r="I89" s="135"/>
      <c r="J89" s="135"/>
      <c r="K89" s="135"/>
      <c r="L89" s="135"/>
      <c r="M89" s="135"/>
    </row>
    <row r="90" spans="1:13">
      <c r="A90" s="136" t="s">
        <v>442</v>
      </c>
      <c r="B90" s="72">
        <v>1345.4482142857141</v>
      </c>
      <c r="C90" s="72">
        <v>729.62983936607145</v>
      </c>
      <c r="D90" s="72" t="s">
        <v>223</v>
      </c>
      <c r="E90" s="72">
        <v>22.63</v>
      </c>
      <c r="F90" s="72">
        <f>(E90*C90)/3.6</f>
        <v>4586.5342402372771</v>
      </c>
      <c r="G90" s="102">
        <v>14</v>
      </c>
      <c r="H90" s="72">
        <f>G90*C90</f>
        <v>10214.817751125</v>
      </c>
      <c r="I90" s="135"/>
      <c r="J90" s="135"/>
      <c r="K90" s="135"/>
      <c r="L90" s="135"/>
      <c r="M90" s="135"/>
    </row>
    <row r="91" spans="1:13" ht="16.5" thickBot="1">
      <c r="A91" s="136" t="s">
        <v>333</v>
      </c>
      <c r="B91" s="72">
        <v>18463.055827870001</v>
      </c>
      <c r="C91" s="72">
        <v>18484.47297263033</v>
      </c>
      <c r="D91" s="72" t="s">
        <v>423</v>
      </c>
      <c r="E91" s="72" t="s">
        <v>101</v>
      </c>
      <c r="F91" s="77">
        <f>C91*3.6</f>
        <v>66544.102701469194</v>
      </c>
      <c r="G91" s="102">
        <v>5.0000000000000001E-4</v>
      </c>
      <c r="H91" s="77">
        <f>C91*G91</f>
        <v>9.242236486315166</v>
      </c>
      <c r="I91" s="135"/>
      <c r="J91" s="135"/>
      <c r="K91" s="135"/>
      <c r="L91" s="135"/>
      <c r="M91" s="135"/>
    </row>
    <row r="92" spans="1:13" ht="16.5" thickBot="1">
      <c r="A92" s="159"/>
      <c r="B92" s="159"/>
      <c r="C92" s="159"/>
      <c r="D92" s="159"/>
      <c r="E92" s="159"/>
      <c r="F92" s="79">
        <f>SUM(F87:F91)</f>
        <v>684863.16371925524</v>
      </c>
      <c r="G92" s="159"/>
      <c r="H92" s="137">
        <f>SUM(H87:H91)</f>
        <v>33205.293306932814</v>
      </c>
      <c r="I92" s="135"/>
      <c r="J92" s="135"/>
      <c r="K92" s="135"/>
      <c r="L92" s="135"/>
      <c r="M92" s="135"/>
    </row>
  </sheetData>
  <mergeCells count="12">
    <mergeCell ref="A31:H31"/>
    <mergeCell ref="A76:G76"/>
    <mergeCell ref="A85:H85"/>
    <mergeCell ref="A40:H40"/>
    <mergeCell ref="A49:H49"/>
    <mergeCell ref="A58:G58"/>
    <mergeCell ref="A67:H67"/>
    <mergeCell ref="I12:J13"/>
    <mergeCell ref="L12:M13"/>
    <mergeCell ref="A19:B19"/>
    <mergeCell ref="A10:E10"/>
    <mergeCell ref="A1:G1"/>
  </mergeCells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38"/>
  <sheetViews>
    <sheetView topLeftCell="C1" zoomScale="85" zoomScaleNormal="85" workbookViewId="0">
      <selection activeCell="I24" sqref="I24"/>
    </sheetView>
  </sheetViews>
  <sheetFormatPr defaultRowHeight="15"/>
  <cols>
    <col min="1" max="1" width="27.5" style="33" customWidth="1"/>
    <col min="2" max="2" width="18.5" style="33" customWidth="1"/>
    <col min="3" max="3" width="23.125" style="33" customWidth="1"/>
    <col min="4" max="4" width="23" style="33" customWidth="1"/>
    <col min="5" max="5" width="16.625" style="33" customWidth="1"/>
    <col min="6" max="6" width="24.375" style="33" customWidth="1"/>
    <col min="7" max="7" width="34.875" style="33" customWidth="1"/>
    <col min="8" max="8" width="26" style="33" customWidth="1"/>
    <col min="9" max="9" width="20.75" style="33" customWidth="1"/>
    <col min="10" max="10" width="25.25" style="33" customWidth="1"/>
    <col min="11" max="11" width="21.5" style="33" customWidth="1"/>
    <col min="12" max="16384" width="9" style="33"/>
  </cols>
  <sheetData>
    <row r="1" spans="1:14" s="55" customFormat="1">
      <c r="A1" s="387" t="s">
        <v>611</v>
      </c>
      <c r="B1" s="387"/>
      <c r="C1" s="387"/>
      <c r="D1" s="387"/>
      <c r="E1" s="160"/>
      <c r="F1" s="388" t="s">
        <v>616</v>
      </c>
      <c r="G1" s="388"/>
      <c r="H1" s="388"/>
      <c r="I1" s="388"/>
    </row>
    <row r="2" spans="1:14">
      <c r="A2" s="161" t="s">
        <v>332</v>
      </c>
      <c r="B2" s="161" t="s">
        <v>425</v>
      </c>
      <c r="C2" s="162" t="s">
        <v>697</v>
      </c>
      <c r="D2" s="162" t="s">
        <v>424</v>
      </c>
      <c r="E2" s="160"/>
      <c r="F2" s="161" t="s">
        <v>332</v>
      </c>
      <c r="G2" s="161" t="s">
        <v>425</v>
      </c>
      <c r="H2" s="162" t="s">
        <v>697</v>
      </c>
      <c r="I2" s="162" t="s">
        <v>609</v>
      </c>
    </row>
    <row r="3" spans="1:14">
      <c r="A3" s="161" t="s">
        <v>426</v>
      </c>
      <c r="B3" s="163">
        <v>469023</v>
      </c>
      <c r="C3" s="163">
        <f>B3*43.33/3600</f>
        <v>5645.2129416666667</v>
      </c>
      <c r="D3" s="163">
        <f>0.264*C3</f>
        <v>1490.3362166000002</v>
      </c>
      <c r="E3" s="160"/>
      <c r="F3" s="161" t="s">
        <v>426</v>
      </c>
      <c r="G3" s="163">
        <v>469023</v>
      </c>
      <c r="H3" s="163">
        <v>5645.2129416666667</v>
      </c>
      <c r="I3" s="163">
        <f>G3/1000</f>
        <v>469.02300000000002</v>
      </c>
      <c r="J3" s="69"/>
    </row>
    <row r="4" spans="1:14" ht="30">
      <c r="A4" s="162" t="s">
        <v>427</v>
      </c>
      <c r="B4" s="163">
        <v>95.4</v>
      </c>
      <c r="C4" s="163">
        <f>B4</f>
        <v>95.4</v>
      </c>
      <c r="D4" s="163">
        <f>0.45*C4</f>
        <v>42.930000000000007</v>
      </c>
      <c r="E4" s="160"/>
      <c r="F4" s="162" t="s">
        <v>427</v>
      </c>
      <c r="G4" s="163">
        <v>95.4</v>
      </c>
      <c r="H4" s="163">
        <f>G4</f>
        <v>95.4</v>
      </c>
      <c r="I4" s="163">
        <f>H4*'Emisje - sektor mieszkalny'!H83</f>
        <v>469.36799999999999</v>
      </c>
      <c r="J4" s="69"/>
    </row>
    <row r="5" spans="1:14" ht="30.75" thickBot="1">
      <c r="A5" s="162" t="s">
        <v>428</v>
      </c>
      <c r="B5" s="163">
        <v>64032</v>
      </c>
      <c r="C5" s="164">
        <f>B5*40.19/3600</f>
        <v>714.84613333333334</v>
      </c>
      <c r="D5" s="164">
        <f>C5*0.27</f>
        <v>193.00845600000002</v>
      </c>
      <c r="E5" s="160"/>
      <c r="F5" s="162" t="s">
        <v>428</v>
      </c>
      <c r="G5" s="163">
        <v>64032</v>
      </c>
      <c r="H5" s="164">
        <f>G5*'Emisje - sektor mieszkalny'!F6/3600</f>
        <v>714.84613333333334</v>
      </c>
      <c r="I5" s="164">
        <f>H5*'Emisje - sektor mieszkalny'!H85</f>
        <v>2330.3983946666667</v>
      </c>
      <c r="J5" s="69"/>
    </row>
    <row r="6" spans="1:14" ht="15.75" thickBot="1">
      <c r="A6" s="160"/>
      <c r="B6" s="160"/>
      <c r="C6" s="165">
        <f>SUM(C3:C5)</f>
        <v>6455.4590749999998</v>
      </c>
      <c r="D6" s="166">
        <f>SUM(D3:D5)</f>
        <v>1726.2746726000003</v>
      </c>
      <c r="E6" s="160"/>
      <c r="F6" s="167"/>
      <c r="G6" s="168"/>
      <c r="H6" s="165">
        <f>H5+H4+H3</f>
        <v>6455.4590749999998</v>
      </c>
      <c r="I6" s="166">
        <f>I5+I4+I3</f>
        <v>3268.7893946666668</v>
      </c>
      <c r="J6" s="69"/>
    </row>
    <row r="7" spans="1:14">
      <c r="A7" s="160"/>
      <c r="B7" s="160"/>
      <c r="C7" s="160"/>
      <c r="D7" s="160"/>
      <c r="E7" s="160"/>
      <c r="F7" s="160"/>
      <c r="G7" s="160"/>
      <c r="H7" s="160"/>
      <c r="I7" s="160"/>
      <c r="J7" s="69"/>
    </row>
    <row r="8" spans="1:14" ht="60" customHeight="1">
      <c r="A8" s="384" t="s">
        <v>701</v>
      </c>
      <c r="B8" s="384"/>
      <c r="C8" s="384"/>
      <c r="D8" s="384"/>
      <c r="E8" s="160"/>
      <c r="F8" s="385" t="s">
        <v>701</v>
      </c>
      <c r="G8" s="385"/>
      <c r="H8" s="385"/>
      <c r="I8" s="385"/>
      <c r="J8" s="54"/>
      <c r="K8" s="34"/>
      <c r="L8" s="34"/>
      <c r="M8" s="34"/>
      <c r="N8" s="34"/>
    </row>
    <row r="9" spans="1:14">
      <c r="A9" s="389" t="s">
        <v>702</v>
      </c>
      <c r="B9" s="389"/>
      <c r="C9" s="389" t="s">
        <v>700</v>
      </c>
      <c r="D9" s="389"/>
      <c r="E9" s="160"/>
      <c r="F9" s="389" t="s">
        <v>702</v>
      </c>
      <c r="G9" s="389"/>
      <c r="H9" s="389" t="s">
        <v>700</v>
      </c>
      <c r="I9" s="389"/>
      <c r="J9" s="54"/>
      <c r="K9" s="34"/>
      <c r="L9" s="34"/>
      <c r="M9" s="34"/>
      <c r="N9" s="34"/>
    </row>
    <row r="10" spans="1:14">
      <c r="A10" s="161" t="s">
        <v>579</v>
      </c>
      <c r="B10" s="169">
        <f>B3-(B3*0.53*0.325)-(B3-(39/42*B3))</f>
        <v>354732.14539285714</v>
      </c>
      <c r="C10" s="161" t="s">
        <v>579</v>
      </c>
      <c r="D10" s="169">
        <f>B3-(B3*0.6*0.325)-(B3-(38/42*B3))</f>
        <v>332894.65785714285</v>
      </c>
      <c r="E10" s="160"/>
      <c r="F10" s="161" t="s">
        <v>579</v>
      </c>
      <c r="G10" s="169">
        <f>B10</f>
        <v>354732.14539285714</v>
      </c>
      <c r="H10" s="161" t="s">
        <v>579</v>
      </c>
      <c r="I10" s="169">
        <f>D10</f>
        <v>332894.65785714285</v>
      </c>
      <c r="J10" s="69"/>
      <c r="L10" s="34"/>
      <c r="M10" s="36"/>
      <c r="N10" s="37"/>
    </row>
    <row r="11" spans="1:14">
      <c r="A11" s="161" t="s">
        <v>689</v>
      </c>
      <c r="B11" s="169">
        <f>B10*43.33/3600</f>
        <v>4269.5955166312497</v>
      </c>
      <c r="C11" s="161" t="s">
        <v>689</v>
      </c>
      <c r="D11" s="169">
        <f>D10*43.33/3600</f>
        <v>4006.7570902638886</v>
      </c>
      <c r="E11" s="160"/>
      <c r="F11" s="161" t="s">
        <v>689</v>
      </c>
      <c r="G11" s="169">
        <f>G10*43.33/3600</f>
        <v>4269.5955166312497</v>
      </c>
      <c r="H11" s="161" t="s">
        <v>689</v>
      </c>
      <c r="I11" s="169">
        <f>I10*43.33/3600</f>
        <v>4006.7570902638886</v>
      </c>
      <c r="J11" s="69"/>
      <c r="L11" s="34"/>
      <c r="M11" s="36"/>
      <c r="N11" s="36"/>
    </row>
    <row r="12" spans="1:14">
      <c r="A12" s="161" t="s">
        <v>424</v>
      </c>
      <c r="B12" s="169">
        <f>0.264*B11</f>
        <v>1127.1732163906499</v>
      </c>
      <c r="C12" s="161" t="s">
        <v>424</v>
      </c>
      <c r="D12" s="169">
        <f>0.264*D11</f>
        <v>1057.7838718296666</v>
      </c>
      <c r="E12" s="160"/>
      <c r="F12" s="161" t="s">
        <v>609</v>
      </c>
      <c r="G12" s="170">
        <f>G10/1000</f>
        <v>354.73214539285715</v>
      </c>
      <c r="H12" s="161" t="s">
        <v>609</v>
      </c>
      <c r="I12" s="170">
        <f>I10/1000</f>
        <v>332.89465785714287</v>
      </c>
      <c r="J12" s="69"/>
      <c r="L12" s="34"/>
      <c r="M12" s="36"/>
      <c r="N12" s="36"/>
    </row>
    <row r="13" spans="1:14">
      <c r="A13" s="161" t="s">
        <v>580</v>
      </c>
      <c r="B13" s="170">
        <f>100-(B12/D3*100)</f>
        <v>24.367857142857147</v>
      </c>
      <c r="C13" s="161" t="s">
        <v>580</v>
      </c>
      <c r="D13" s="170">
        <f>100-(D12/D3*100)</f>
        <v>29.023809523809533</v>
      </c>
      <c r="E13" s="160"/>
      <c r="F13" s="161" t="s">
        <v>610</v>
      </c>
      <c r="G13" s="170">
        <f>100-(G12/I3*100)</f>
        <v>24.367857142857147</v>
      </c>
      <c r="H13" s="161" t="s">
        <v>610</v>
      </c>
      <c r="I13" s="170">
        <f>100-(I12/I3*100)</f>
        <v>29.023809523809518</v>
      </c>
      <c r="J13" s="69"/>
      <c r="L13" s="34"/>
      <c r="M13" s="36"/>
      <c r="N13" s="36"/>
    </row>
    <row r="14" spans="1:14">
      <c r="A14" s="161" t="s">
        <v>581</v>
      </c>
      <c r="B14" s="169">
        <f>B3-B10</f>
        <v>114290.85460714286</v>
      </c>
      <c r="C14" s="161" t="s">
        <v>581</v>
      </c>
      <c r="D14" s="169">
        <f>B3-D10</f>
        <v>136128.34214285715</v>
      </c>
      <c r="E14" s="160"/>
      <c r="F14" s="161" t="s">
        <v>581</v>
      </c>
      <c r="G14" s="169">
        <f>G3-G10</f>
        <v>114290.85460714286</v>
      </c>
      <c r="H14" s="161" t="s">
        <v>581</v>
      </c>
      <c r="I14" s="169">
        <f>G3-I10</f>
        <v>136128.34214285715</v>
      </c>
      <c r="J14" s="69"/>
      <c r="L14" s="34"/>
      <c r="M14" s="36"/>
      <c r="N14" s="36"/>
    </row>
    <row r="15" spans="1:14">
      <c r="A15" s="161" t="s">
        <v>582</v>
      </c>
      <c r="B15" s="169">
        <f>B14*3.5</f>
        <v>400017.991125</v>
      </c>
      <c r="C15" s="161" t="s">
        <v>582</v>
      </c>
      <c r="D15" s="169">
        <f>D14*3.5</f>
        <v>476449.19750000001</v>
      </c>
      <c r="E15" s="160"/>
      <c r="F15" s="161" t="s">
        <v>582</v>
      </c>
      <c r="G15" s="169">
        <f>G14*3.5</f>
        <v>400017.991125</v>
      </c>
      <c r="H15" s="161" t="s">
        <v>582</v>
      </c>
      <c r="I15" s="169">
        <f>I14*3.5</f>
        <v>476449.19750000001</v>
      </c>
      <c r="J15" s="69"/>
      <c r="L15" s="34"/>
      <c r="M15" s="36"/>
      <c r="N15" s="36"/>
    </row>
    <row r="16" spans="1:14">
      <c r="A16" s="160"/>
      <c r="B16" s="160"/>
      <c r="C16" s="160"/>
      <c r="D16" s="160"/>
      <c r="E16" s="160"/>
      <c r="F16" s="160"/>
      <c r="G16" s="160"/>
      <c r="H16" s="160"/>
      <c r="I16" s="160"/>
      <c r="J16" s="69"/>
      <c r="L16" s="34"/>
      <c r="M16" s="36"/>
      <c r="N16" s="36"/>
    </row>
    <row r="17" spans="1:14">
      <c r="A17" s="386" t="s">
        <v>673</v>
      </c>
      <c r="B17" s="386"/>
      <c r="C17" s="386"/>
      <c r="D17" s="386"/>
      <c r="E17" s="160"/>
      <c r="F17" s="160"/>
      <c r="G17" s="160"/>
      <c r="H17" s="160"/>
      <c r="I17" s="160"/>
      <c r="J17" s="69"/>
      <c r="L17" s="34"/>
      <c r="M17" s="36"/>
      <c r="N17" s="36"/>
    </row>
    <row r="18" spans="1:14">
      <c r="A18" s="161" t="s">
        <v>332</v>
      </c>
      <c r="B18" s="161" t="s">
        <v>425</v>
      </c>
      <c r="C18" s="162" t="s">
        <v>697</v>
      </c>
      <c r="D18" s="162" t="s">
        <v>672</v>
      </c>
      <c r="E18" s="160"/>
      <c r="F18" s="160"/>
      <c r="G18" s="160"/>
      <c r="H18" s="160"/>
      <c r="I18" s="160"/>
      <c r="J18" s="69"/>
      <c r="L18" s="34"/>
      <c r="M18" s="36"/>
      <c r="N18" s="36"/>
    </row>
    <row r="19" spans="1:14">
      <c r="A19" s="161" t="s">
        <v>426</v>
      </c>
      <c r="B19" s="163">
        <v>469023</v>
      </c>
      <c r="C19" s="163">
        <f>B19*43.33/3600</f>
        <v>5645.2129416666667</v>
      </c>
      <c r="D19" s="163">
        <v>0</v>
      </c>
      <c r="E19" s="160"/>
      <c r="F19" s="160"/>
      <c r="G19" s="160"/>
      <c r="H19" s="160"/>
      <c r="I19" s="160"/>
      <c r="L19" s="34"/>
      <c r="M19" s="34"/>
      <c r="N19" s="34"/>
    </row>
    <row r="20" spans="1:14" ht="30">
      <c r="A20" s="162" t="s">
        <v>427</v>
      </c>
      <c r="B20" s="163">
        <v>95.4</v>
      </c>
      <c r="C20" s="163">
        <f>B20</f>
        <v>95.4</v>
      </c>
      <c r="D20" s="163">
        <v>0</v>
      </c>
      <c r="E20" s="160"/>
      <c r="F20" s="171"/>
      <c r="G20" s="160"/>
      <c r="H20" s="160"/>
      <c r="I20" s="160"/>
      <c r="L20" s="41"/>
      <c r="M20" s="41"/>
      <c r="N20" s="34"/>
    </row>
    <row r="21" spans="1:14" ht="30.75" thickBot="1">
      <c r="A21" s="162" t="s">
        <v>428</v>
      </c>
      <c r="B21" s="163">
        <f>64032/1000</f>
        <v>64.031999999999996</v>
      </c>
      <c r="C21" s="164">
        <f>B21*40.19/3.6</f>
        <v>714.84613333333323</v>
      </c>
      <c r="D21" s="164">
        <f>B21*0.3114</f>
        <v>19.939564799999999</v>
      </c>
      <c r="E21" s="160"/>
      <c r="F21" s="160"/>
      <c r="G21" s="160"/>
      <c r="H21" s="160"/>
      <c r="I21" s="160"/>
      <c r="L21" s="41"/>
      <c r="M21" s="41"/>
      <c r="N21" s="34"/>
    </row>
    <row r="22" spans="1:14" ht="15.75" thickBot="1">
      <c r="A22" s="160"/>
      <c r="B22" s="160"/>
      <c r="C22" s="165">
        <f>SUM(C19:C21)</f>
        <v>6455.4590749999998</v>
      </c>
      <c r="D22" s="166">
        <f>SUM(D19:D21)</f>
        <v>19.939564799999999</v>
      </c>
      <c r="E22" s="160"/>
      <c r="F22" s="160"/>
      <c r="G22" s="160"/>
      <c r="H22" s="160"/>
      <c r="I22" s="160"/>
      <c r="L22" s="38"/>
      <c r="M22" s="38"/>
      <c r="N22" s="34"/>
    </row>
    <row r="23" spans="1:14">
      <c r="A23" s="160"/>
      <c r="B23" s="160"/>
      <c r="C23" s="160"/>
      <c r="D23" s="160"/>
      <c r="E23" s="160"/>
      <c r="F23" s="160"/>
      <c r="G23" s="171"/>
      <c r="H23" s="160"/>
      <c r="I23" s="160"/>
      <c r="L23" s="38"/>
      <c r="M23" s="38"/>
      <c r="N23" s="34"/>
    </row>
    <row r="24" spans="1:14" ht="110.25" customHeight="1">
      <c r="A24" s="384" t="s">
        <v>699</v>
      </c>
      <c r="B24" s="384"/>
      <c r="C24" s="172"/>
      <c r="D24" s="385" t="s">
        <v>698</v>
      </c>
      <c r="E24" s="385"/>
      <c r="F24" s="160"/>
      <c r="G24" s="171"/>
      <c r="H24" s="160"/>
      <c r="I24" s="160"/>
      <c r="L24" s="38"/>
      <c r="M24" s="38"/>
      <c r="N24" s="34"/>
    </row>
    <row r="25" spans="1:14">
      <c r="A25" s="161" t="s">
        <v>579</v>
      </c>
      <c r="B25" s="169">
        <f>B3-(0.325*B3*0.125)-(B3-(39/42*B3))</f>
        <v>416467.29776785715</v>
      </c>
      <c r="C25" s="173"/>
      <c r="D25" s="161" t="s">
        <v>579</v>
      </c>
      <c r="E25" s="169">
        <f>B25</f>
        <v>416467.29776785715</v>
      </c>
      <c r="F25" s="160"/>
      <c r="G25" s="171"/>
      <c r="H25" s="160"/>
      <c r="I25" s="160"/>
      <c r="L25" s="38"/>
      <c r="M25" s="38"/>
      <c r="N25" s="34"/>
    </row>
    <row r="26" spans="1:14">
      <c r="A26" s="161" t="s">
        <v>689</v>
      </c>
      <c r="B26" s="169">
        <f>B25*43.33/3600</f>
        <v>5012.6466700781248</v>
      </c>
      <c r="C26" s="174"/>
      <c r="D26" s="161" t="s">
        <v>689</v>
      </c>
      <c r="E26" s="169">
        <f>B26</f>
        <v>5012.6466700781248</v>
      </c>
      <c r="F26" s="160"/>
      <c r="G26" s="171"/>
      <c r="H26" s="160"/>
      <c r="I26" s="160"/>
      <c r="L26" s="38"/>
      <c r="M26" s="38"/>
      <c r="N26" s="34"/>
    </row>
    <row r="27" spans="1:14">
      <c r="A27" s="161" t="s">
        <v>424</v>
      </c>
      <c r="B27" s="169">
        <f>0.264*B26</f>
        <v>1323.338720900625</v>
      </c>
      <c r="C27" s="174"/>
      <c r="D27" s="161" t="s">
        <v>609</v>
      </c>
      <c r="E27" s="169">
        <f>E25/1000</f>
        <v>416.46729776785713</v>
      </c>
      <c r="F27" s="171"/>
      <c r="G27" s="160"/>
      <c r="H27" s="160"/>
      <c r="I27" s="160"/>
      <c r="L27" s="38"/>
      <c r="M27" s="38"/>
      <c r="N27" s="34"/>
    </row>
    <row r="28" spans="1:14">
      <c r="A28" s="161" t="s">
        <v>580</v>
      </c>
      <c r="B28" s="170">
        <f>100-(B27/D3*100)</f>
        <v>11.205357142857153</v>
      </c>
      <c r="C28" s="173"/>
      <c r="D28" s="161" t="s">
        <v>610</v>
      </c>
      <c r="E28" s="170">
        <f>100-(E27/I3*100)</f>
        <v>11.205357142857153</v>
      </c>
      <c r="F28" s="175"/>
      <c r="G28" s="176"/>
      <c r="H28" s="177"/>
      <c r="I28" s="178"/>
      <c r="J28" s="34"/>
      <c r="K28" s="34"/>
      <c r="L28" s="34"/>
      <c r="M28" s="34"/>
      <c r="N28" s="34"/>
    </row>
    <row r="29" spans="1:14">
      <c r="A29" s="161" t="s">
        <v>581</v>
      </c>
      <c r="B29" s="169">
        <f>B3-B25</f>
        <v>52555.702232142852</v>
      </c>
      <c r="C29" s="173"/>
      <c r="D29" s="161" t="s">
        <v>581</v>
      </c>
      <c r="E29" s="169">
        <f>B29</f>
        <v>52555.702232142852</v>
      </c>
      <c r="F29" s="178"/>
      <c r="G29" s="176"/>
      <c r="H29" s="177"/>
      <c r="I29" s="178"/>
      <c r="J29" s="34"/>
      <c r="K29" s="34"/>
      <c r="L29" s="34"/>
      <c r="M29" s="34"/>
      <c r="N29" s="34"/>
    </row>
    <row r="30" spans="1:14">
      <c r="A30" s="161" t="s">
        <v>582</v>
      </c>
      <c r="B30" s="169">
        <f>B29*3.5</f>
        <v>183944.95781249998</v>
      </c>
      <c r="C30" s="173"/>
      <c r="D30" s="161" t="s">
        <v>582</v>
      </c>
      <c r="E30" s="169">
        <f>B30</f>
        <v>183944.95781249998</v>
      </c>
      <c r="F30" s="178"/>
      <c r="G30" s="176"/>
      <c r="H30" s="177"/>
      <c r="I30" s="177"/>
    </row>
    <row r="31" spans="1:14">
      <c r="F31" s="37"/>
      <c r="G31" s="39"/>
      <c r="H31" s="35"/>
      <c r="I31" s="35"/>
    </row>
    <row r="32" spans="1:14">
      <c r="F32" s="36"/>
      <c r="G32" s="39"/>
      <c r="H32" s="35"/>
      <c r="I32" s="35"/>
    </row>
    <row r="37" spans="2:3">
      <c r="B37" s="274"/>
      <c r="C37" s="274"/>
    </row>
    <row r="38" spans="2:3">
      <c r="B38" s="274"/>
    </row>
  </sheetData>
  <mergeCells count="11">
    <mergeCell ref="A24:B24"/>
    <mergeCell ref="D24:E24"/>
    <mergeCell ref="A17:D17"/>
    <mergeCell ref="A1:D1"/>
    <mergeCell ref="F1:I1"/>
    <mergeCell ref="A8:D8"/>
    <mergeCell ref="A9:B9"/>
    <mergeCell ref="C9:D9"/>
    <mergeCell ref="F9:G9"/>
    <mergeCell ref="H9:I9"/>
    <mergeCell ref="F8:I8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J36"/>
  <sheetViews>
    <sheetView zoomScale="55" zoomScaleNormal="55" workbookViewId="0">
      <selection activeCell="G41" sqref="G41"/>
    </sheetView>
  </sheetViews>
  <sheetFormatPr defaultRowHeight="15.75"/>
  <cols>
    <col min="1" max="1" width="22.875" style="1" customWidth="1"/>
    <col min="2" max="2" width="23.125" style="1" customWidth="1"/>
    <col min="3" max="3" width="21.5" style="1" customWidth="1"/>
    <col min="4" max="5" width="21.625" style="1" customWidth="1"/>
    <col min="6" max="6" width="16.5" style="1" customWidth="1"/>
    <col min="7" max="7" width="40.625" style="1" customWidth="1"/>
    <col min="8" max="8" width="9" style="1"/>
    <col min="9" max="9" width="18.625" style="1" customWidth="1"/>
    <col min="10" max="10" width="30.75" style="1" customWidth="1"/>
    <col min="11" max="16384" width="9" style="1"/>
  </cols>
  <sheetData>
    <row r="1" spans="1:10">
      <c r="A1" s="390" t="s">
        <v>670</v>
      </c>
      <c r="B1" s="390"/>
      <c r="C1" s="390"/>
      <c r="D1" s="135"/>
      <c r="E1" s="135"/>
      <c r="F1" s="318" t="s">
        <v>652</v>
      </c>
      <c r="G1" s="318"/>
      <c r="H1" s="109"/>
      <c r="I1" s="318" t="s">
        <v>653</v>
      </c>
      <c r="J1" s="318"/>
    </row>
    <row r="2" spans="1:10">
      <c r="A2" s="392" t="s">
        <v>539</v>
      </c>
      <c r="B2" s="136" t="s">
        <v>689</v>
      </c>
      <c r="C2" s="136" t="s">
        <v>452</v>
      </c>
      <c r="D2" s="135"/>
      <c r="E2" s="135"/>
      <c r="F2" s="318"/>
      <c r="G2" s="318"/>
      <c r="H2" s="109"/>
      <c r="I2" s="318"/>
      <c r="J2" s="318"/>
    </row>
    <row r="3" spans="1:10">
      <c r="A3" s="392"/>
      <c r="B3" s="76">
        <v>3070.72</v>
      </c>
      <c r="C3" s="76">
        <v>1381.82</v>
      </c>
      <c r="D3" s="135"/>
      <c r="E3" s="135"/>
      <c r="F3" s="73">
        <v>4.92</v>
      </c>
      <c r="G3" s="72" t="s">
        <v>130</v>
      </c>
      <c r="H3" s="109"/>
      <c r="I3" s="73">
        <v>0</v>
      </c>
      <c r="J3" s="72" t="s">
        <v>130</v>
      </c>
    </row>
    <row r="4" spans="1:10">
      <c r="A4" s="135"/>
      <c r="B4" s="135"/>
      <c r="C4" s="135"/>
      <c r="D4" s="135"/>
      <c r="E4" s="135"/>
      <c r="F4" s="73">
        <v>0.42</v>
      </c>
      <c r="G4" s="72" t="s">
        <v>462</v>
      </c>
      <c r="H4" s="109"/>
      <c r="I4" s="102">
        <v>5.0000000000000001E-4</v>
      </c>
      <c r="J4" s="72" t="s">
        <v>462</v>
      </c>
    </row>
    <row r="5" spans="1:10">
      <c r="A5" s="390" t="s">
        <v>588</v>
      </c>
      <c r="B5" s="390"/>
      <c r="C5" s="390"/>
      <c r="D5" s="390"/>
      <c r="E5" s="135"/>
      <c r="F5" s="73">
        <v>3.26</v>
      </c>
      <c r="G5" s="72" t="s">
        <v>132</v>
      </c>
      <c r="H5" s="109"/>
      <c r="I5" s="103">
        <v>0.31113760000000001</v>
      </c>
      <c r="J5" s="72" t="s">
        <v>132</v>
      </c>
    </row>
    <row r="6" spans="1:10" ht="31.5">
      <c r="A6" s="392" t="s">
        <v>539</v>
      </c>
      <c r="B6" s="136" t="s">
        <v>689</v>
      </c>
      <c r="C6" s="138" t="s">
        <v>691</v>
      </c>
      <c r="D6" s="136" t="s">
        <v>452</v>
      </c>
      <c r="E6" s="135"/>
      <c r="F6" s="73">
        <v>3.56</v>
      </c>
      <c r="G6" s="72" t="s">
        <v>442</v>
      </c>
      <c r="H6" s="109"/>
      <c r="I6" s="73">
        <v>14</v>
      </c>
      <c r="J6" s="72" t="s">
        <v>442</v>
      </c>
    </row>
    <row r="7" spans="1:10">
      <c r="A7" s="392"/>
      <c r="B7" s="76">
        <v>3070.72</v>
      </c>
      <c r="C7" s="76">
        <v>2763.6479999999997</v>
      </c>
      <c r="D7" s="76">
        <f>C7*'Emisje - sektor mieszkalny'!$H$4</f>
        <v>1232.587008</v>
      </c>
      <c r="E7" s="135"/>
      <c r="F7" s="73">
        <v>2.83</v>
      </c>
      <c r="G7" s="72" t="s">
        <v>466</v>
      </c>
      <c r="H7" s="109"/>
      <c r="I7" s="73">
        <v>0</v>
      </c>
      <c r="J7" s="72" t="s">
        <v>466</v>
      </c>
    </row>
    <row r="8" spans="1:10">
      <c r="A8" s="135"/>
      <c r="B8" s="135"/>
      <c r="C8" s="135"/>
      <c r="D8" s="135"/>
      <c r="E8" s="135"/>
      <c r="F8" s="73">
        <v>3.56</v>
      </c>
      <c r="G8" s="72" t="s">
        <v>454</v>
      </c>
      <c r="H8" s="109"/>
      <c r="I8" s="73">
        <v>14</v>
      </c>
      <c r="J8" s="72" t="s">
        <v>454</v>
      </c>
    </row>
    <row r="9" spans="1:10" ht="40.5" customHeight="1">
      <c r="A9" s="135"/>
      <c r="B9" s="135"/>
      <c r="C9" s="135"/>
      <c r="D9" s="135"/>
      <c r="E9" s="135"/>
      <c r="F9" s="73">
        <v>1.64</v>
      </c>
      <c r="G9" s="76" t="s">
        <v>576</v>
      </c>
      <c r="H9" s="109"/>
      <c r="I9" s="102">
        <v>5.0000000000000001E-4</v>
      </c>
      <c r="J9" s="76" t="s">
        <v>576</v>
      </c>
    </row>
    <row r="10" spans="1:10" ht="45.75" customHeight="1">
      <c r="A10" s="390" t="s">
        <v>589</v>
      </c>
      <c r="B10" s="390"/>
      <c r="C10" s="390"/>
      <c r="D10" s="390"/>
      <c r="E10" s="135"/>
      <c r="F10" s="73">
        <v>1.64</v>
      </c>
      <c r="G10" s="76" t="s">
        <v>552</v>
      </c>
      <c r="H10" s="109"/>
      <c r="I10" s="102">
        <v>5.0000000000000001E-4</v>
      </c>
      <c r="J10" s="76" t="s">
        <v>552</v>
      </c>
    </row>
    <row r="11" spans="1:10" ht="31.5">
      <c r="A11" s="392" t="s">
        <v>539</v>
      </c>
      <c r="B11" s="136" t="s">
        <v>689</v>
      </c>
      <c r="C11" s="138" t="s">
        <v>691</v>
      </c>
      <c r="D11" s="136" t="s">
        <v>452</v>
      </c>
      <c r="E11" s="135"/>
      <c r="F11" s="135"/>
      <c r="G11" s="135"/>
      <c r="H11" s="135"/>
      <c r="I11" s="135"/>
      <c r="J11" s="135"/>
    </row>
    <row r="12" spans="1:10">
      <c r="A12" s="392"/>
      <c r="B12" s="76">
        <v>3070.72</v>
      </c>
      <c r="C12" s="76">
        <v>2456.576</v>
      </c>
      <c r="D12" s="76">
        <f>C12*'Emisje - sektor mieszkalny'!$H$4</f>
        <v>1095.6328960000001</v>
      </c>
      <c r="E12" s="135"/>
      <c r="F12" s="135"/>
      <c r="G12" s="135"/>
      <c r="H12" s="135"/>
      <c r="I12" s="135"/>
      <c r="J12" s="135"/>
    </row>
    <row r="13" spans="1:10">
      <c r="A13" s="135"/>
      <c r="B13" s="135"/>
      <c r="C13" s="135"/>
      <c r="D13" s="135"/>
      <c r="E13" s="135"/>
      <c r="F13" s="135"/>
      <c r="G13" s="135"/>
      <c r="H13" s="135"/>
      <c r="I13" s="135"/>
      <c r="J13" s="135"/>
    </row>
    <row r="14" spans="1:10">
      <c r="A14" s="390" t="s">
        <v>590</v>
      </c>
      <c r="B14" s="390"/>
      <c r="C14" s="390"/>
      <c r="D14" s="390"/>
      <c r="E14" s="135"/>
      <c r="F14" s="135"/>
      <c r="G14" s="135"/>
      <c r="H14" s="135"/>
      <c r="I14" s="135"/>
      <c r="J14" s="135"/>
    </row>
    <row r="15" spans="1:10" ht="31.5">
      <c r="A15" s="392" t="s">
        <v>539</v>
      </c>
      <c r="B15" s="136" t="s">
        <v>689</v>
      </c>
      <c r="C15" s="138" t="s">
        <v>691</v>
      </c>
      <c r="D15" s="136" t="s">
        <v>452</v>
      </c>
      <c r="E15" s="135"/>
      <c r="F15" s="135"/>
      <c r="G15" s="135"/>
      <c r="H15" s="135"/>
      <c r="I15" s="135"/>
      <c r="J15" s="135"/>
    </row>
    <row r="16" spans="1:10">
      <c r="A16" s="392"/>
      <c r="B16" s="76">
        <v>3070.72</v>
      </c>
      <c r="C16" s="76">
        <v>2149.5039999999999</v>
      </c>
      <c r="D16" s="76">
        <f>C16*'Emisje - sektor mieszkalny'!$H$4</f>
        <v>958.67878399999995</v>
      </c>
      <c r="E16" s="135"/>
      <c r="F16" s="135"/>
      <c r="G16" s="135"/>
      <c r="H16" s="135"/>
      <c r="I16" s="135"/>
      <c r="J16" s="135"/>
    </row>
    <row r="17" spans="1:10">
      <c r="A17" s="135"/>
      <c r="B17" s="135"/>
      <c r="C17" s="135"/>
      <c r="D17" s="135"/>
      <c r="E17" s="135"/>
      <c r="F17" s="135"/>
      <c r="G17" s="135"/>
      <c r="H17" s="135"/>
      <c r="I17" s="135"/>
      <c r="J17" s="135"/>
    </row>
    <row r="18" spans="1:10">
      <c r="A18" s="393" t="s">
        <v>668</v>
      </c>
      <c r="B18" s="393"/>
      <c r="C18" s="393"/>
      <c r="D18" s="135"/>
      <c r="E18" s="135"/>
      <c r="F18" s="135"/>
      <c r="G18" s="135"/>
      <c r="H18" s="135"/>
      <c r="I18" s="135"/>
      <c r="J18" s="135"/>
    </row>
    <row r="19" spans="1:10">
      <c r="A19" s="392" t="s">
        <v>539</v>
      </c>
      <c r="B19" s="136" t="s">
        <v>689</v>
      </c>
      <c r="C19" s="136" t="s">
        <v>599</v>
      </c>
      <c r="D19" s="135"/>
      <c r="E19" s="135"/>
      <c r="F19" s="135"/>
      <c r="G19" s="135"/>
      <c r="H19" s="135"/>
      <c r="I19" s="135"/>
      <c r="J19" s="135"/>
    </row>
    <row r="20" spans="1:10">
      <c r="A20" s="392"/>
      <c r="B20" s="76">
        <v>3070.72</v>
      </c>
      <c r="C20" s="76">
        <f>B20*$F$3</f>
        <v>15107.942399999998</v>
      </c>
      <c r="D20" s="135"/>
      <c r="E20" s="135"/>
      <c r="F20" s="135"/>
      <c r="G20" s="135"/>
      <c r="H20" s="135"/>
      <c r="I20" s="135"/>
      <c r="J20" s="135"/>
    </row>
    <row r="21" spans="1:10">
      <c r="A21" s="135"/>
      <c r="B21" s="135"/>
      <c r="C21" s="135"/>
      <c r="D21" s="135"/>
      <c r="E21" s="135"/>
      <c r="F21" s="135"/>
      <c r="G21" s="135"/>
      <c r="H21" s="135"/>
      <c r="I21" s="135"/>
      <c r="J21" s="135"/>
    </row>
    <row r="22" spans="1:10">
      <c r="A22" s="393" t="s">
        <v>615</v>
      </c>
      <c r="B22" s="393"/>
      <c r="C22" s="393"/>
      <c r="D22" s="393"/>
      <c r="E22" s="135"/>
      <c r="F22" s="135"/>
      <c r="G22" s="135"/>
      <c r="H22" s="135"/>
      <c r="I22" s="135"/>
      <c r="J22" s="135"/>
    </row>
    <row r="23" spans="1:10" ht="31.5">
      <c r="A23" s="392" t="s">
        <v>539</v>
      </c>
      <c r="B23" s="136" t="s">
        <v>689</v>
      </c>
      <c r="C23" s="138" t="s">
        <v>691</v>
      </c>
      <c r="D23" s="136" t="s">
        <v>599</v>
      </c>
      <c r="E23" s="135"/>
      <c r="F23" s="135"/>
      <c r="G23" s="135"/>
      <c r="H23" s="135"/>
      <c r="I23" s="135"/>
      <c r="J23" s="135"/>
    </row>
    <row r="24" spans="1:10">
      <c r="A24" s="392"/>
      <c r="B24" s="76">
        <v>3070.72</v>
      </c>
      <c r="C24" s="76">
        <v>2149.5039999999999</v>
      </c>
      <c r="D24" s="76">
        <f>C24*$F$3</f>
        <v>10575.559679999998</v>
      </c>
      <c r="E24" s="135"/>
      <c r="F24" s="135"/>
      <c r="G24" s="135"/>
      <c r="H24" s="135"/>
      <c r="I24" s="135"/>
      <c r="J24" s="135"/>
    </row>
    <row r="25" spans="1:10">
      <c r="A25" s="70"/>
      <c r="B25" s="70"/>
      <c r="C25" s="70"/>
      <c r="D25" s="70"/>
      <c r="E25" s="70"/>
    </row>
    <row r="26" spans="1:10">
      <c r="A26" s="68"/>
      <c r="B26" s="68"/>
      <c r="C26" s="68"/>
      <c r="D26" s="68"/>
      <c r="E26" s="70"/>
    </row>
    <row r="27" spans="1:10">
      <c r="A27" s="391"/>
      <c r="B27" s="391"/>
      <c r="C27" s="391"/>
      <c r="D27" s="57"/>
    </row>
    <row r="28" spans="1:10">
      <c r="A28" s="57"/>
      <c r="B28" s="57"/>
      <c r="C28" s="57"/>
      <c r="D28" s="57"/>
    </row>
    <row r="29" spans="1:10">
      <c r="A29" s="57"/>
      <c r="B29" s="57"/>
      <c r="C29" s="57"/>
      <c r="D29" s="57"/>
    </row>
    <row r="30" spans="1:10">
      <c r="A30" s="57"/>
      <c r="B30" s="57"/>
      <c r="C30" s="57"/>
      <c r="D30" s="57"/>
    </row>
    <row r="31" spans="1:10">
      <c r="A31" s="57"/>
      <c r="B31" s="57"/>
      <c r="C31" s="57"/>
      <c r="D31" s="57"/>
    </row>
    <row r="32" spans="1:10">
      <c r="A32" s="391"/>
      <c r="B32" s="391"/>
      <c r="C32" s="391"/>
      <c r="D32" s="57"/>
    </row>
    <row r="33" spans="1:4">
      <c r="A33" s="57"/>
      <c r="B33" s="57"/>
      <c r="C33" s="57"/>
      <c r="D33" s="57"/>
    </row>
    <row r="34" spans="1:4">
      <c r="A34" s="57"/>
      <c r="B34" s="57"/>
      <c r="C34" s="57"/>
      <c r="D34" s="57"/>
    </row>
    <row r="35" spans="1:4">
      <c r="A35" s="57"/>
      <c r="B35" s="57"/>
      <c r="C35" s="57"/>
      <c r="D35" s="57"/>
    </row>
    <row r="36" spans="1:4">
      <c r="A36" s="57"/>
      <c r="B36" s="57"/>
      <c r="C36" s="57"/>
      <c r="D36" s="57"/>
    </row>
  </sheetData>
  <mergeCells count="16">
    <mergeCell ref="A32:C32"/>
    <mergeCell ref="A23:A24"/>
    <mergeCell ref="A22:D22"/>
    <mergeCell ref="A19:A20"/>
    <mergeCell ref="A18:C18"/>
    <mergeCell ref="F1:G2"/>
    <mergeCell ref="I1:J2"/>
    <mergeCell ref="A1:C1"/>
    <mergeCell ref="A27:C27"/>
    <mergeCell ref="A15:A16"/>
    <mergeCell ref="A14:D14"/>
    <mergeCell ref="A2:A3"/>
    <mergeCell ref="A6:A7"/>
    <mergeCell ref="A5:D5"/>
    <mergeCell ref="A11:A12"/>
    <mergeCell ref="A10:D10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W111"/>
  <sheetViews>
    <sheetView tabSelected="1" topLeftCell="I24" zoomScale="70" zoomScaleNormal="70" workbookViewId="0">
      <selection activeCell="F108" sqref="F108"/>
    </sheetView>
  </sheetViews>
  <sheetFormatPr defaultRowHeight="15"/>
  <cols>
    <col min="1" max="1" width="23.375" style="56" customWidth="1"/>
    <col min="2" max="2" width="17.125" style="56" customWidth="1"/>
    <col min="3" max="3" width="17.5" style="56" customWidth="1"/>
    <col min="4" max="4" width="22.5" style="56" customWidth="1"/>
    <col min="5" max="5" width="19.5" style="56" customWidth="1"/>
    <col min="6" max="6" width="20.5" style="56" customWidth="1"/>
    <col min="7" max="7" width="23.75" style="56" customWidth="1"/>
    <col min="8" max="8" width="22.5" style="56" customWidth="1"/>
    <col min="9" max="9" width="15.75" style="56" customWidth="1"/>
    <col min="10" max="10" width="21.75" style="56" customWidth="1"/>
    <col min="11" max="11" width="25.625" style="56" customWidth="1"/>
    <col min="12" max="12" width="15" style="56" customWidth="1"/>
    <col min="13" max="13" width="20.75" style="56" customWidth="1"/>
    <col min="14" max="14" width="16.375" style="56" customWidth="1"/>
    <col min="15" max="15" width="14.25" style="56" customWidth="1"/>
    <col min="16" max="16" width="16.25" style="56" customWidth="1"/>
    <col min="17" max="17" width="9" style="56"/>
    <col min="18" max="18" width="11.5" style="56" customWidth="1"/>
    <col min="19" max="19" width="16.125" style="56" customWidth="1"/>
    <col min="20" max="20" width="17.375" style="56" customWidth="1"/>
    <col min="21" max="21" width="14.125" style="56" customWidth="1"/>
    <col min="22" max="22" width="14.25" style="56" customWidth="1"/>
    <col min="23" max="16384" width="9" style="56"/>
  </cols>
  <sheetData>
    <row r="1" spans="1:23" ht="58.5" customHeight="1">
      <c r="A1" s="394" t="s">
        <v>669</v>
      </c>
      <c r="B1" s="395"/>
      <c r="C1" s="395"/>
      <c r="D1" s="395"/>
      <c r="E1" s="395"/>
      <c r="F1" s="395"/>
      <c r="G1" s="395"/>
      <c r="H1" s="395"/>
      <c r="I1" s="395"/>
      <c r="J1" s="395"/>
      <c r="K1" s="396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</row>
    <row r="2" spans="1:23" ht="31.5" customHeight="1">
      <c r="A2" s="180" t="s">
        <v>540</v>
      </c>
      <c r="B2" s="180" t="s">
        <v>585</v>
      </c>
      <c r="C2" s="179"/>
      <c r="D2" s="181" t="s">
        <v>553</v>
      </c>
      <c r="E2" s="180" t="s">
        <v>452</v>
      </c>
      <c r="F2" s="179"/>
      <c r="G2" s="180" t="s">
        <v>540</v>
      </c>
      <c r="H2" s="180" t="s">
        <v>689</v>
      </c>
      <c r="I2" s="179"/>
      <c r="J2" s="180" t="s">
        <v>540</v>
      </c>
      <c r="K2" s="180" t="s">
        <v>692</v>
      </c>
      <c r="L2" s="179"/>
      <c r="M2" s="182" t="s">
        <v>680</v>
      </c>
      <c r="N2" s="182" t="s">
        <v>425</v>
      </c>
      <c r="O2" s="183" t="s">
        <v>689</v>
      </c>
      <c r="P2" s="179"/>
      <c r="Q2" s="179"/>
      <c r="R2" s="179"/>
      <c r="S2" s="179"/>
      <c r="T2" s="179"/>
      <c r="U2" s="179"/>
      <c r="V2" s="179"/>
    </row>
    <row r="3" spans="1:23" ht="18">
      <c r="A3" s="162" t="s">
        <v>536</v>
      </c>
      <c r="B3" s="184">
        <f>'Emisje - transport'!D25+'Emisje - transport'!D26+'Emisje - transport'!D27+'Emisje - transport'!G4</f>
        <v>230415.13554213152</v>
      </c>
      <c r="C3" s="185"/>
      <c r="D3" s="186" t="s">
        <v>550</v>
      </c>
      <c r="E3" s="187">
        <f>'Emisje - ob. uż. publ.'!F96+'Emisje - sektor mieszkalny'!I5+'Emisje - usługi i prod.'!G4</f>
        <v>101158.83224748039</v>
      </c>
      <c r="F3" s="179"/>
      <c r="G3" s="162" t="s">
        <v>536</v>
      </c>
      <c r="H3" s="184">
        <f>'Emisje - transport'!C25+'Emisje - transport'!C26+'Emisje - transport'!C27+'Emisje - transport'!F4</f>
        <v>907146.20292177773</v>
      </c>
      <c r="I3" s="185"/>
      <c r="J3" s="186" t="s">
        <v>462</v>
      </c>
      <c r="K3" s="187">
        <v>505794.16123740195</v>
      </c>
      <c r="L3" s="179"/>
      <c r="M3" s="182" t="s">
        <v>681</v>
      </c>
      <c r="N3" s="188">
        <v>50663855.880000003</v>
      </c>
      <c r="O3" s="188">
        <v>505794.16</v>
      </c>
      <c r="P3" s="179"/>
      <c r="Q3" s="179"/>
      <c r="R3" s="179"/>
      <c r="S3" s="179"/>
      <c r="T3" s="179"/>
      <c r="U3" s="179"/>
      <c r="V3" s="179"/>
    </row>
    <row r="4" spans="1:23" ht="30">
      <c r="A4" s="162" t="s">
        <v>539</v>
      </c>
      <c r="B4" s="186">
        <f>Oświetlenie!C3</f>
        <v>1381.82</v>
      </c>
      <c r="C4" s="179"/>
      <c r="D4" s="186" t="s">
        <v>442</v>
      </c>
      <c r="E4" s="187">
        <f>'Emisje - ob. uż. publ.'!F97+'Emisje - sektor mieszkalny'!I7+'Emisje - usługi i prod.'!G6</f>
        <v>41877.561883718467</v>
      </c>
      <c r="F4" s="179"/>
      <c r="G4" s="162" t="s">
        <v>539</v>
      </c>
      <c r="H4" s="186">
        <f>Oświetlenie!B3</f>
        <v>3070.72</v>
      </c>
      <c r="I4" s="185"/>
      <c r="J4" s="186" t="s">
        <v>514</v>
      </c>
      <c r="K4" s="187">
        <v>131690.4461752153</v>
      </c>
      <c r="L4" s="179"/>
      <c r="M4" s="182" t="s">
        <v>682</v>
      </c>
      <c r="N4" s="188">
        <v>19603.98</v>
      </c>
      <c r="O4" s="188">
        <v>131690.45000000001</v>
      </c>
      <c r="P4" s="179"/>
      <c r="Q4" s="179"/>
      <c r="R4" s="179"/>
      <c r="S4" s="179"/>
      <c r="T4" s="179"/>
      <c r="U4" s="179"/>
      <c r="V4" s="179"/>
    </row>
    <row r="5" spans="1:23">
      <c r="A5" s="162" t="s">
        <v>541</v>
      </c>
      <c r="B5" s="186">
        <f>SUM(MZK!D3:D5)</f>
        <v>1726.2746726000003</v>
      </c>
      <c r="C5" s="179"/>
      <c r="D5" s="186" t="s">
        <v>537</v>
      </c>
      <c r="E5" s="187">
        <f>'Emisje - sektor mieszkalny'!I9</f>
        <v>3964.0185143321514</v>
      </c>
      <c r="F5" s="179"/>
      <c r="G5" s="162" t="s">
        <v>541</v>
      </c>
      <c r="H5" s="186">
        <f>MZK!C3+MZK!C4+MZK!C5</f>
        <v>6455.4590749999998</v>
      </c>
      <c r="I5" s="185"/>
      <c r="J5" s="186" t="s">
        <v>537</v>
      </c>
      <c r="K5" s="187">
        <v>12664.595892434989</v>
      </c>
      <c r="L5" s="179"/>
      <c r="M5" s="182" t="s">
        <v>683</v>
      </c>
      <c r="N5" s="188">
        <v>1720.47</v>
      </c>
      <c r="O5" s="188">
        <v>12664.6</v>
      </c>
      <c r="P5" s="179"/>
      <c r="Q5" s="179"/>
      <c r="R5" s="179"/>
      <c r="S5" s="179"/>
      <c r="T5" s="179"/>
      <c r="U5" s="179"/>
      <c r="V5" s="179"/>
    </row>
    <row r="6" spans="1:23" ht="30">
      <c r="A6" s="162" t="s">
        <v>542</v>
      </c>
      <c r="B6" s="186">
        <f>'Emisje - usługi i prod.'!G8</f>
        <v>183669.01199626227</v>
      </c>
      <c r="C6" s="179"/>
      <c r="D6" s="186" t="s">
        <v>545</v>
      </c>
      <c r="E6" s="187">
        <f>MZK!D3+'Emisje - transport'!G4+'Emisje - transport'!D25+'Emisje - transport'!D26+'Emisje - transport'!D27</f>
        <v>231905.47175873152</v>
      </c>
      <c r="F6" s="179"/>
      <c r="G6" s="162" t="s">
        <v>542</v>
      </c>
      <c r="H6" s="186">
        <f>'Emisje - usługi i prod.'!E3+'Emisje - usługi i prod.'!E4+'Emisje - usługi i prod.'!E5+'Emisje - usługi i prod.'!E6+'Emisje - usługi i prod.'!E7</f>
        <v>742858.4518724177</v>
      </c>
      <c r="I6" s="185"/>
      <c r="J6" s="186" t="s">
        <v>546</v>
      </c>
      <c r="K6" s="187">
        <v>912791.41586344445</v>
      </c>
      <c r="L6" s="179"/>
      <c r="M6" s="183" t="s">
        <v>684</v>
      </c>
      <c r="N6" s="188">
        <v>73364700.019999996</v>
      </c>
      <c r="O6" s="188">
        <v>912791.42</v>
      </c>
      <c r="P6" s="179"/>
      <c r="Q6" s="179"/>
      <c r="R6" s="179"/>
      <c r="S6" s="179"/>
      <c r="T6" s="179"/>
      <c r="U6" s="179"/>
      <c r="V6" s="179"/>
    </row>
    <row r="7" spans="1:23">
      <c r="A7" s="162" t="s">
        <v>543</v>
      </c>
      <c r="B7" s="186">
        <f>'Emisje - sektor mieszkalny'!I12</f>
        <v>91927.502008561583</v>
      </c>
      <c r="C7" s="179"/>
      <c r="D7" s="186" t="s">
        <v>132</v>
      </c>
      <c r="E7" s="187">
        <f>'Emisje - ob. uż. publ.'!F98+'Emisje - sektor mieszkalny'!I6+'Emisje - usługi i prod.'!G5+MZK!D5</f>
        <v>4046.1033165230497</v>
      </c>
      <c r="F7" s="179"/>
      <c r="G7" s="162" t="s">
        <v>543</v>
      </c>
      <c r="H7" s="186">
        <f>'Emisje - sektor mieszkalny'!G4+'Emisje - sektor mieszkalny'!G5+'Emisje - sektor mieszkalny'!G6+'Emisje - sektor mieszkalny'!G7+'Emisje - sektor mieszkalny'!G8+'Emisje - sektor mieszkalny'!G9+'Emisje - sektor mieszkalny'!G10+'Emisje - sektor mieszkalny'!G11</f>
        <v>1343140.2368238652</v>
      </c>
      <c r="I7" s="185"/>
      <c r="J7" s="186" t="s">
        <v>132</v>
      </c>
      <c r="K7" s="187">
        <v>14985.567838974255</v>
      </c>
      <c r="L7" s="179"/>
      <c r="M7" s="182" t="s">
        <v>685</v>
      </c>
      <c r="N7" s="188">
        <v>429880.62</v>
      </c>
      <c r="O7" s="188">
        <v>14985.57</v>
      </c>
      <c r="P7" s="179"/>
      <c r="Q7" s="179"/>
      <c r="R7" s="179"/>
      <c r="S7" s="179"/>
      <c r="T7" s="179"/>
      <c r="U7" s="179"/>
      <c r="V7" s="179"/>
    </row>
    <row r="8" spans="1:23" ht="30.75" thickBot="1">
      <c r="A8" s="162" t="s">
        <v>544</v>
      </c>
      <c r="B8" s="189">
        <f>'Emisje - ob. uż. publ.'!F100</f>
        <v>11444.852693749999</v>
      </c>
      <c r="C8" s="179"/>
      <c r="D8" s="186" t="s">
        <v>548</v>
      </c>
      <c r="E8" s="162">
        <v>0</v>
      </c>
      <c r="F8" s="179"/>
      <c r="G8" s="162" t="s">
        <v>544</v>
      </c>
      <c r="H8" s="189">
        <f>'Emisje - ob. uż. publ.'!E95+'Emisje - ob. uż. publ.'!E96+'Emisje - ob. uż. publ.'!E97+'Emisje - ob. uż. publ.'!E98+'Emisje - ob. uż. publ.'!E99</f>
        <v>41553.616513111105</v>
      </c>
      <c r="I8" s="185"/>
      <c r="J8" s="186" t="s">
        <v>466</v>
      </c>
      <c r="K8" s="187">
        <v>54926.406028368801</v>
      </c>
      <c r="L8" s="179"/>
      <c r="M8" s="182" t="s">
        <v>686</v>
      </c>
      <c r="N8" s="188">
        <v>12675.32</v>
      </c>
      <c r="O8" s="188">
        <v>54926.41</v>
      </c>
      <c r="P8" s="179"/>
      <c r="Q8" s="179"/>
      <c r="R8" s="179"/>
      <c r="S8" s="179"/>
      <c r="T8" s="179"/>
      <c r="U8" s="179"/>
      <c r="V8" s="179"/>
    </row>
    <row r="9" spans="1:23" ht="30.75" thickBot="1">
      <c r="A9" s="179"/>
      <c r="B9" s="190">
        <f>SUM(B3:B8)</f>
        <v>520564.59691330534</v>
      </c>
      <c r="C9" s="179"/>
      <c r="D9" s="186" t="s">
        <v>130</v>
      </c>
      <c r="E9" s="187">
        <f>B4+'Emisje - ob. uż. publ.'!F95+'Emisje - sektor mieszkalny'!I4+'Emisje - usługi i prod.'!G3+MZK!D4</f>
        <v>103095.8333761</v>
      </c>
      <c r="F9" s="179"/>
      <c r="G9" s="179"/>
      <c r="H9" s="190">
        <f>SUM(H3:H8)</f>
        <v>3044224.6872061719</v>
      </c>
      <c r="I9" s="179"/>
      <c r="J9" s="186" t="s">
        <v>130</v>
      </c>
      <c r="K9" s="187">
        <v>231128.19034999999</v>
      </c>
      <c r="L9" s="179"/>
      <c r="M9" s="183" t="s">
        <v>687</v>
      </c>
      <c r="N9" s="188">
        <v>231128.19</v>
      </c>
      <c r="O9" s="188">
        <v>231128.19</v>
      </c>
      <c r="P9" s="179"/>
      <c r="Q9" s="179"/>
      <c r="R9" s="179"/>
      <c r="S9" s="179"/>
      <c r="T9" s="179"/>
      <c r="U9" s="179"/>
      <c r="V9" s="179"/>
    </row>
    <row r="10" spans="1:23" ht="15.75" thickBot="1">
      <c r="A10" s="179"/>
      <c r="B10" s="179"/>
      <c r="C10" s="179"/>
      <c r="D10" s="186" t="s">
        <v>473</v>
      </c>
      <c r="E10" s="191">
        <f>'Emisje - ob. uż. publ.'!F99+'Emisje - sektor mieszkalny'!I11+'Emisje - sektor mieszkalny'!I10+'Emisje - usługi i prod.'!G7</f>
        <v>34516.77581641978</v>
      </c>
      <c r="F10" s="179"/>
      <c r="G10" s="179"/>
      <c r="H10" s="179"/>
      <c r="I10" s="179"/>
      <c r="J10" s="186" t="s">
        <v>333</v>
      </c>
      <c r="K10" s="191">
        <v>1180243.9038203321</v>
      </c>
      <c r="L10" s="179"/>
      <c r="M10" s="182" t="s">
        <v>688</v>
      </c>
      <c r="N10" s="188">
        <v>348736.69</v>
      </c>
      <c r="O10" s="192">
        <v>1180243.8999999999</v>
      </c>
      <c r="P10" s="179"/>
      <c r="Q10" s="179"/>
      <c r="R10" s="179"/>
      <c r="S10" s="179"/>
      <c r="T10" s="179"/>
      <c r="U10" s="179"/>
      <c r="V10" s="179"/>
    </row>
    <row r="11" spans="1:23" ht="16.5" thickBot="1">
      <c r="A11" s="179"/>
      <c r="B11" s="179"/>
      <c r="C11" s="179"/>
      <c r="D11" s="175"/>
      <c r="E11" s="190">
        <f>SUM(E3:E10)</f>
        <v>520564.5969133054</v>
      </c>
      <c r="F11" s="179"/>
      <c r="G11" s="179"/>
      <c r="H11" s="179"/>
      <c r="I11" s="179"/>
      <c r="J11" s="175"/>
      <c r="K11" s="190">
        <v>3044224.6872061719</v>
      </c>
      <c r="L11" s="179"/>
      <c r="M11" s="193"/>
      <c r="N11" s="194"/>
      <c r="O11" s="195">
        <v>3044224.69</v>
      </c>
      <c r="P11" s="179"/>
      <c r="Q11" s="179"/>
      <c r="R11" s="179"/>
      <c r="S11" s="179"/>
      <c r="T11" s="179"/>
      <c r="U11" s="179"/>
      <c r="V11" s="179"/>
    </row>
    <row r="12" spans="1:23">
      <c r="A12" s="179"/>
      <c r="B12" s="179"/>
      <c r="C12" s="179"/>
      <c r="D12" s="179"/>
      <c r="E12" s="179"/>
      <c r="F12" s="179"/>
      <c r="G12" s="179"/>
      <c r="H12" s="179"/>
      <c r="I12" s="196"/>
      <c r="J12" s="196"/>
      <c r="K12" s="196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</row>
    <row r="13" spans="1:23" ht="60.75" customHeight="1">
      <c r="A13" s="394" t="s">
        <v>588</v>
      </c>
      <c r="B13" s="395"/>
      <c r="C13" s="395"/>
      <c r="D13" s="395"/>
      <c r="E13" s="395"/>
      <c r="F13" s="395"/>
      <c r="G13" s="395"/>
      <c r="H13" s="395"/>
      <c r="I13" s="396"/>
      <c r="J13" s="173"/>
      <c r="K13" s="173"/>
      <c r="L13" s="397" t="s">
        <v>674</v>
      </c>
      <c r="M13" s="398"/>
      <c r="N13" s="398"/>
      <c r="O13" s="398"/>
      <c r="P13" s="399"/>
      <c r="Q13" s="196"/>
      <c r="R13" s="400" t="s">
        <v>675</v>
      </c>
      <c r="S13" s="401"/>
      <c r="T13" s="401"/>
      <c r="U13" s="401"/>
      <c r="V13" s="402"/>
      <c r="W13" s="58"/>
    </row>
    <row r="14" spans="1:23" ht="20.25">
      <c r="A14" s="179"/>
      <c r="B14" s="179"/>
      <c r="C14" s="179"/>
      <c r="D14" s="179"/>
      <c r="E14" s="179"/>
      <c r="F14" s="179"/>
      <c r="G14" s="179"/>
      <c r="H14" s="179"/>
      <c r="I14" s="179"/>
      <c r="J14" s="173"/>
      <c r="K14" s="173"/>
      <c r="L14" s="197"/>
      <c r="M14" s="197"/>
      <c r="N14" s="197"/>
      <c r="O14" s="197"/>
      <c r="P14" s="197"/>
      <c r="Q14" s="196"/>
      <c r="R14" s="197"/>
      <c r="S14" s="197"/>
      <c r="T14" s="197"/>
      <c r="U14" s="197"/>
      <c r="V14" s="197"/>
      <c r="W14" s="58"/>
    </row>
    <row r="15" spans="1:23" ht="60">
      <c r="A15" s="162" t="s">
        <v>540</v>
      </c>
      <c r="B15" s="162" t="s">
        <v>693</v>
      </c>
      <c r="C15" s="162" t="s">
        <v>694</v>
      </c>
      <c r="D15" s="198" t="s">
        <v>591</v>
      </c>
      <c r="E15" s="159"/>
      <c r="F15" s="162" t="s">
        <v>540</v>
      </c>
      <c r="G15" s="162" t="s">
        <v>692</v>
      </c>
      <c r="H15" s="162" t="s">
        <v>694</v>
      </c>
      <c r="I15" s="198" t="s">
        <v>591</v>
      </c>
      <c r="J15" s="179"/>
      <c r="K15" s="179"/>
      <c r="L15" s="162" t="s">
        <v>540</v>
      </c>
      <c r="M15" s="162" t="s">
        <v>612</v>
      </c>
      <c r="N15" s="159"/>
      <c r="O15" s="186" t="s">
        <v>553</v>
      </c>
      <c r="P15" s="162" t="s">
        <v>607</v>
      </c>
      <c r="Q15" s="179"/>
      <c r="R15" s="162" t="s">
        <v>540</v>
      </c>
      <c r="S15" s="162" t="s">
        <v>626</v>
      </c>
      <c r="T15" s="159"/>
      <c r="U15" s="186" t="s">
        <v>553</v>
      </c>
      <c r="V15" s="162" t="s">
        <v>622</v>
      </c>
    </row>
    <row r="16" spans="1:23" ht="45">
      <c r="A16" s="162" t="s">
        <v>536</v>
      </c>
      <c r="B16" s="184">
        <f>$H$3</f>
        <v>907146.20292177773</v>
      </c>
      <c r="C16" s="184">
        <f>'Emisje - transport'!F5+'Emisje - transport'!C51+'Emisje - transport'!C52+'Emisje - transport'!C53</f>
        <v>1071184.2028595554</v>
      </c>
      <c r="D16" s="199">
        <f>C16/B16*100</f>
        <v>118.08286243269681</v>
      </c>
      <c r="E16" s="159"/>
      <c r="F16" s="186" t="s">
        <v>462</v>
      </c>
      <c r="G16" s="187">
        <f>$K$3</f>
        <v>505794.16123740195</v>
      </c>
      <c r="H16" s="187">
        <f>'Emisje - sektor mieszkalny'!H45+'Emisje - ob. uż. publ.'!E119+'Emisje - usługi i prod.'!F34</f>
        <v>525166.86433583463</v>
      </c>
      <c r="I16" s="199">
        <f>H16/G16*100</f>
        <v>103.83015554213561</v>
      </c>
      <c r="J16" s="179"/>
      <c r="K16" s="179"/>
      <c r="L16" s="162" t="s">
        <v>536</v>
      </c>
      <c r="M16" s="184">
        <f>'Emisje - transport'!D51+'Emisje - transport'!D52+'Emisje - transport'!D53+'Emisje - transport'!G41</f>
        <v>86077.302015499998</v>
      </c>
      <c r="N16" s="185"/>
      <c r="O16" s="186" t="s">
        <v>550</v>
      </c>
      <c r="P16" s="187">
        <f>'Emisje - sektor mieszkalny'!I84+'Emisje - ob. uż. publ.'!E140+'Emisje - usługi i prod.'!G61</f>
        <v>212433.54771970882</v>
      </c>
      <c r="Q16" s="179"/>
      <c r="R16" s="162" t="s">
        <v>536</v>
      </c>
      <c r="S16" s="184">
        <v>0</v>
      </c>
      <c r="T16" s="185"/>
      <c r="U16" s="186" t="s">
        <v>550</v>
      </c>
      <c r="V16" s="187">
        <f>'Emisje - sektor mieszkalny'!I110+'Emisje - ob. uż. publ.'!E163+'Emisje - usługi i prod.'!G79</f>
        <v>25331.92794177305</v>
      </c>
    </row>
    <row r="17" spans="1:22" ht="60">
      <c r="A17" s="162" t="s">
        <v>539</v>
      </c>
      <c r="B17" s="186">
        <f>$H$4</f>
        <v>3070.72</v>
      </c>
      <c r="C17" s="186">
        <f>Oświetlenie!C7</f>
        <v>2763.6479999999997</v>
      </c>
      <c r="D17" s="199">
        <f t="shared" ref="D17:D21" si="0">C17/B17*100</f>
        <v>89.999999999999986</v>
      </c>
      <c r="E17" s="159"/>
      <c r="F17" s="186" t="s">
        <v>514</v>
      </c>
      <c r="G17" s="187">
        <f>$K$4</f>
        <v>131690.4461752153</v>
      </c>
      <c r="H17" s="187">
        <f>'Emisje - sektor mieszkalny'!H47+'Emisje - ob. uż. publ.'!E120+'Emisje - usługi i prod.'!F36</f>
        <v>108755.20175480205</v>
      </c>
      <c r="I17" s="199">
        <f t="shared" ref="I17:I23" si="1">H17/G17*100</f>
        <v>82.583972424318702</v>
      </c>
      <c r="J17" s="179"/>
      <c r="K17" s="179"/>
      <c r="L17" s="162" t="s">
        <v>539</v>
      </c>
      <c r="M17" s="186">
        <f>Oświetlenie!C20</f>
        <v>15107.942399999998</v>
      </c>
      <c r="N17" s="159"/>
      <c r="O17" s="186" t="s">
        <v>442</v>
      </c>
      <c r="P17" s="187">
        <f>'Emisje - sektor mieszkalny'!I86+'Emisje - ob. uż. publ.'!E141+'Emisje - usługi i prod.'!G63</f>
        <v>468817.98838376644</v>
      </c>
      <c r="Q17" s="179"/>
      <c r="R17" s="162" t="s">
        <v>539</v>
      </c>
      <c r="S17" s="186">
        <v>0</v>
      </c>
      <c r="T17" s="159"/>
      <c r="U17" s="186" t="s">
        <v>442</v>
      </c>
      <c r="V17" s="187">
        <f>'Emisje - sektor mieszkalny'!I112+'Emisje - ob. uż. publ.'!E164+'Emisje - usługi i prod.'!G81</f>
        <v>293292.02329787234</v>
      </c>
    </row>
    <row r="18" spans="1:22" ht="45">
      <c r="A18" s="162" t="s">
        <v>541</v>
      </c>
      <c r="B18" s="186">
        <f>$H$5</f>
        <v>6455.4590749999998</v>
      </c>
      <c r="C18" s="186">
        <f>MZK!C3+MZK!C4+MZK!C5</f>
        <v>6455.4590749999998</v>
      </c>
      <c r="D18" s="199">
        <f t="shared" si="0"/>
        <v>100</v>
      </c>
      <c r="E18" s="159"/>
      <c r="F18" s="186" t="s">
        <v>537</v>
      </c>
      <c r="G18" s="187">
        <f>$K$5</f>
        <v>12664.595892434989</v>
      </c>
      <c r="H18" s="187">
        <f>'Emisje - sektor mieszkalny'!H49</f>
        <v>13515.910028324468</v>
      </c>
      <c r="I18" s="199">
        <f t="shared" si="1"/>
        <v>106.72199999999998</v>
      </c>
      <c r="J18" s="179"/>
      <c r="K18" s="179"/>
      <c r="L18" s="162" t="s">
        <v>541</v>
      </c>
      <c r="M18" s="186">
        <f>MZK!I3+MZK!I4+MZK!I5</f>
        <v>3268.7893946666668</v>
      </c>
      <c r="N18" s="159"/>
      <c r="O18" s="186" t="s">
        <v>537</v>
      </c>
      <c r="P18" s="187">
        <f>'Emisje - sektor mieszkalny'!I88</f>
        <v>45085.961377068561</v>
      </c>
      <c r="Q18" s="179"/>
      <c r="R18" s="162" t="s">
        <v>541</v>
      </c>
      <c r="S18" s="186">
        <f>MZK!D21</f>
        <v>19.939564799999999</v>
      </c>
      <c r="T18" s="159"/>
      <c r="U18" s="186" t="s">
        <v>537</v>
      </c>
      <c r="V18" s="187">
        <f>'Emisje - sektor mieszkalny'!I114</f>
        <v>24086.627659574468</v>
      </c>
    </row>
    <row r="19" spans="1:22" ht="60" customHeight="1">
      <c r="A19" s="162" t="s">
        <v>542</v>
      </c>
      <c r="B19" s="186">
        <f>$H$6</f>
        <v>742858.4518724177</v>
      </c>
      <c r="C19" s="186">
        <f>'Emisje - usługi i prod.'!F33+'Emisje - usługi i prod.'!F34+'Emisje - usługi i prod.'!F35+'Emisje - usługi i prod.'!F36+'Emisje - usługi i prod.'!F37</f>
        <v>762451.21118728642</v>
      </c>
      <c r="D19" s="199">
        <f t="shared" si="0"/>
        <v>102.63748218324555</v>
      </c>
      <c r="E19" s="159"/>
      <c r="F19" s="186" t="s">
        <v>546</v>
      </c>
      <c r="G19" s="187">
        <f>$K$6</f>
        <v>912791.41586344445</v>
      </c>
      <c r="H19" s="187">
        <f>C16+MZK!C3</f>
        <v>1076829.415801222</v>
      </c>
      <c r="I19" s="199">
        <f t="shared" si="1"/>
        <v>117.97102789169065</v>
      </c>
      <c r="J19" s="179"/>
      <c r="K19" s="179"/>
      <c r="L19" s="162" t="s">
        <v>542</v>
      </c>
      <c r="M19" s="186">
        <f>'Emisje - usługi i prod.'!G65</f>
        <v>1270725.692707828</v>
      </c>
      <c r="N19" s="159"/>
      <c r="O19" s="186" t="s">
        <v>545</v>
      </c>
      <c r="P19" s="187">
        <f>M16+MZK!I3</f>
        <v>86546.325015499999</v>
      </c>
      <c r="Q19" s="179"/>
      <c r="R19" s="162" t="s">
        <v>542</v>
      </c>
      <c r="S19" s="186">
        <f>'Emisje - usługi i prod.'!G83</f>
        <v>42921.6758945806</v>
      </c>
      <c r="T19" s="159"/>
      <c r="U19" s="186" t="s">
        <v>545</v>
      </c>
      <c r="V19" s="187">
        <v>0</v>
      </c>
    </row>
    <row r="20" spans="1:22" ht="30" customHeight="1">
      <c r="A20" s="162" t="s">
        <v>543</v>
      </c>
      <c r="B20" s="186">
        <f>$H$7</f>
        <v>1343140.2368238652</v>
      </c>
      <c r="C20" s="186">
        <f>'Emisje - sektor mieszkalny'!H52</f>
        <v>1393248.9271869687</v>
      </c>
      <c r="D20" s="199">
        <f t="shared" si="0"/>
        <v>103.73071172981876</v>
      </c>
      <c r="E20" s="159"/>
      <c r="F20" s="186" t="s">
        <v>132</v>
      </c>
      <c r="G20" s="187">
        <f>$K$7</f>
        <v>14985.567838974255</v>
      </c>
      <c r="H20" s="187">
        <f>'Emisje - sektor mieszkalny'!H46+'Emisje - ob. uż. publ.'!E121+'Emisje - usługi i prod.'!F35+MZK!C5</f>
        <v>12657.968957554715</v>
      </c>
      <c r="I20" s="199">
        <f t="shared" si="1"/>
        <v>84.467729842268952</v>
      </c>
      <c r="J20" s="179"/>
      <c r="K20" s="179"/>
      <c r="L20" s="162" t="s">
        <v>543</v>
      </c>
      <c r="M20" s="186">
        <f>'Emisje - sektor mieszkalny'!I91</f>
        <v>2652606.3809880037</v>
      </c>
      <c r="N20" s="159"/>
      <c r="O20" s="186" t="s">
        <v>132</v>
      </c>
      <c r="P20" s="187">
        <f>'Emisje - sektor mieszkalny'!I85+'Emisje - ob. uż. publ.'!E142+'Emisje - usługi i prod.'!G62+MZK!I5</f>
        <v>48852.951155056071</v>
      </c>
      <c r="Q20" s="179"/>
      <c r="R20" s="162" t="s">
        <v>543</v>
      </c>
      <c r="S20" s="186">
        <f>'Emisje - sektor mieszkalny'!I117</f>
        <v>295366.89180345851</v>
      </c>
      <c r="T20" s="159"/>
      <c r="U20" s="186" t="s">
        <v>132</v>
      </c>
      <c r="V20" s="187">
        <f>'Emisje - sektor mieszkalny'!I111+'Emisje - ob. uż. publ.'!E165+'Emisje - usługi i prod.'!G80+MZK!D21</f>
        <v>417.90402546331904</v>
      </c>
    </row>
    <row r="21" spans="1:22" ht="45.75" customHeight="1" thickBot="1">
      <c r="A21" s="162" t="s">
        <v>544</v>
      </c>
      <c r="B21" s="189">
        <f>$H$8</f>
        <v>41553.616513111105</v>
      </c>
      <c r="C21" s="189">
        <f>'Emisje - ob. uż. publ.'!E123</f>
        <v>42607.412040405965</v>
      </c>
      <c r="D21" s="199">
        <f t="shared" si="0"/>
        <v>102.53598992271193</v>
      </c>
      <c r="E21" s="159"/>
      <c r="F21" s="186" t="s">
        <v>466</v>
      </c>
      <c r="G21" s="187">
        <f>$K$8</f>
        <v>54926.406028368801</v>
      </c>
      <c r="H21" s="187">
        <f>'Emisje - sektor mieszkalny'!H48</f>
        <v>53289.599128723406</v>
      </c>
      <c r="I21" s="199">
        <f t="shared" si="1"/>
        <v>97.02</v>
      </c>
      <c r="J21" s="179"/>
      <c r="K21" s="179"/>
      <c r="L21" s="162" t="s">
        <v>544</v>
      </c>
      <c r="M21" s="189">
        <f>'Emisje - ob. uż. publ.'!E144</f>
        <v>62143.093992728871</v>
      </c>
      <c r="N21" s="159"/>
      <c r="O21" s="186" t="s">
        <v>548</v>
      </c>
      <c r="P21" s="187">
        <f>'Emisje - sektor mieszkalny'!I87</f>
        <v>155441.72906028372</v>
      </c>
      <c r="Q21" s="179"/>
      <c r="R21" s="162" t="s">
        <v>544</v>
      </c>
      <c r="S21" s="189">
        <f>'Emisje - ob. uż. publ.'!E167</f>
        <v>5003.5755332079998</v>
      </c>
      <c r="T21" s="159"/>
      <c r="U21" s="186" t="s">
        <v>548</v>
      </c>
      <c r="V21" s="187">
        <v>0</v>
      </c>
    </row>
    <row r="22" spans="1:22" ht="46.5" customHeight="1" thickBot="1">
      <c r="A22" s="159"/>
      <c r="B22" s="200">
        <f>B21+B20+B19+B18+B17+B16</f>
        <v>3044224.6872061724</v>
      </c>
      <c r="C22" s="201">
        <v>3278710.8603492165</v>
      </c>
      <c r="D22" s="159"/>
      <c r="E22" s="159"/>
      <c r="F22" s="186" t="s">
        <v>130</v>
      </c>
      <c r="G22" s="187">
        <f>$K$9</f>
        <v>231128.19034999999</v>
      </c>
      <c r="H22" s="187">
        <f>'Emisje - sektor mieszkalny'!H44+'Emisje - ob. uż. publ.'!E118+'Emisje - usługi i prod.'!F33+MZK!C4+Oświetlenie!C7</f>
        <v>227368.3028343957</v>
      </c>
      <c r="I22" s="199">
        <f t="shared" si="1"/>
        <v>98.373245812243553</v>
      </c>
      <c r="J22" s="179"/>
      <c r="K22" s="179"/>
      <c r="L22" s="159"/>
      <c r="M22" s="190">
        <f>M21+M20+M19+M18+M17+M16</f>
        <v>4089929.2014987273</v>
      </c>
      <c r="N22" s="159"/>
      <c r="O22" s="186" t="s">
        <v>130</v>
      </c>
      <c r="P22" s="187">
        <f>'Emisje - sektor mieszkalny'!I83+'Emisje - ob. uż. publ.'!E139+'Emisje - usługi i prod.'!G60+Oświetlenie!C20+MZK!I4</f>
        <v>1137150.696522</v>
      </c>
      <c r="Q22" s="179"/>
      <c r="R22" s="159"/>
      <c r="S22" s="190">
        <f>S21+S20+S19+S18+S17+S16</f>
        <v>343312.08279604709</v>
      </c>
      <c r="T22" s="159"/>
      <c r="U22" s="186" t="s">
        <v>130</v>
      </c>
      <c r="V22" s="187">
        <v>0</v>
      </c>
    </row>
    <row r="23" spans="1:22" ht="31.5" customHeight="1" thickBot="1">
      <c r="A23" s="159"/>
      <c r="B23" s="159"/>
      <c r="C23" s="159"/>
      <c r="D23" s="159"/>
      <c r="E23" s="159"/>
      <c r="F23" s="186" t="s">
        <v>333</v>
      </c>
      <c r="G23" s="191">
        <f>$K$10</f>
        <v>1180243.9038203321</v>
      </c>
      <c r="H23" s="191">
        <f>'Emisje - sektor mieszkalny'!H50+'Emisje - sektor mieszkalny'!H51+'Emisje - ob. uż. publ.'!E122+'Emisje - usługi i prod.'!F37</f>
        <v>1261127.5975083592</v>
      </c>
      <c r="I23" s="199">
        <f t="shared" si="1"/>
        <v>106.85313378245078</v>
      </c>
      <c r="J23" s="179"/>
      <c r="K23" s="179"/>
      <c r="L23" s="159"/>
      <c r="M23" s="159"/>
      <c r="N23" s="159"/>
      <c r="O23" s="186" t="s">
        <v>473</v>
      </c>
      <c r="P23" s="191">
        <f>'Emisje - sektor mieszkalny'!I89+'Emisje - sektor mieszkalny'!I90+'Emisje - ob. uż. publ.'!E143+'Emisje - usługi i prod.'!G64</f>
        <v>1935600.0022653441</v>
      </c>
      <c r="Q23" s="179"/>
      <c r="R23" s="159"/>
      <c r="S23" s="159"/>
      <c r="T23" s="159"/>
      <c r="U23" s="186" t="s">
        <v>473</v>
      </c>
      <c r="V23" s="191">
        <f>'Emisje - sektor mieszkalny'!I115+'Emisje - sektor mieszkalny'!I116+'Emisje - ob. uż. publ.'!E166+'Emisje - usługi i prod.'!G82</f>
        <v>183.59987136393499</v>
      </c>
    </row>
    <row r="24" spans="1:22" ht="15.75" thickBot="1">
      <c r="A24" s="186" t="s">
        <v>553</v>
      </c>
      <c r="B24" s="162" t="s">
        <v>526</v>
      </c>
      <c r="C24" s="159"/>
      <c r="D24" s="159"/>
      <c r="E24" s="159"/>
      <c r="F24" s="175"/>
      <c r="G24" s="200">
        <f>G23+G22+G21+G20+G19+G18+G17+G16</f>
        <v>3044224.6872061719</v>
      </c>
      <c r="H24" s="201">
        <f>H23+H22+H21+H20+H19+H18+H17+H16</f>
        <v>3278710.860349216</v>
      </c>
      <c r="I24" s="159"/>
      <c r="J24" s="179"/>
      <c r="K24" s="179"/>
      <c r="L24" s="159"/>
      <c r="M24" s="159"/>
      <c r="N24" s="159"/>
      <c r="O24" s="175"/>
      <c r="P24" s="190">
        <f>P23+P22+P21+P20+P19+P18+P17+P16</f>
        <v>4089929.2014987278</v>
      </c>
      <c r="Q24" s="179"/>
      <c r="R24" s="159"/>
      <c r="S24" s="159"/>
      <c r="T24" s="159"/>
      <c r="U24" s="175"/>
      <c r="V24" s="190">
        <f>V23+V22+V21+V20+V19+V18+V17+V16</f>
        <v>343312.08279604709</v>
      </c>
    </row>
    <row r="25" spans="1:22">
      <c r="A25" s="186" t="s">
        <v>551</v>
      </c>
      <c r="B25" s="187">
        <f>'Emisje - sektor mieszkalny'!F45+'Emisje - ob. uż. publ.'!C119+'Emisje - usługi i prod.'!C34</f>
        <v>52604360.367529348</v>
      </c>
      <c r="C25" s="202"/>
      <c r="D25" s="196"/>
      <c r="E25" s="196"/>
      <c r="F25" s="179"/>
      <c r="G25" s="179"/>
      <c r="H25" s="179"/>
      <c r="I25" s="179"/>
      <c r="J25" s="179"/>
      <c r="K25" s="179"/>
      <c r="L25" s="179"/>
      <c r="M25" s="179"/>
      <c r="N25" s="179"/>
      <c r="O25" s="179"/>
      <c r="P25" s="179"/>
      <c r="Q25" s="179"/>
      <c r="R25" s="179"/>
      <c r="S25" s="179"/>
      <c r="T25" s="179"/>
      <c r="U25" s="179"/>
      <c r="V25" s="179"/>
    </row>
    <row r="26" spans="1:22" ht="30">
      <c r="A26" s="186" t="s">
        <v>547</v>
      </c>
      <c r="B26" s="187">
        <f>MZK!B3+'Emisje - transport'!E5+'Emisje - transport'!P26+'Emisje - transport'!P29+'Emisje - transport'!P32</f>
        <v>86546325.015499994</v>
      </c>
      <c r="C26" s="179"/>
      <c r="D26" s="179"/>
      <c r="E26" s="179"/>
      <c r="F26" s="179"/>
      <c r="G26" s="179"/>
      <c r="H26" s="179"/>
      <c r="I26" s="179"/>
      <c r="J26" s="179"/>
      <c r="K26" s="179"/>
      <c r="L26" s="350" t="s">
        <v>613</v>
      </c>
      <c r="M26" s="351"/>
      <c r="N26" s="351"/>
      <c r="O26" s="351"/>
      <c r="P26" s="352"/>
      <c r="Q26" s="179"/>
      <c r="R26" s="357" t="s">
        <v>614</v>
      </c>
      <c r="S26" s="358"/>
      <c r="T26" s="358"/>
      <c r="U26" s="358"/>
      <c r="V26" s="359"/>
    </row>
    <row r="27" spans="1:22">
      <c r="A27" s="186" t="s">
        <v>409</v>
      </c>
      <c r="B27" s="187">
        <f>'Emisje - sektor mieszkalny'!F46+'Emisje - ob. uż. publ.'!C121+'Emisje - usługi i prod.'!C35+MZK!B5</f>
        <v>1133831.5065239358</v>
      </c>
      <c r="C27" s="179"/>
      <c r="D27" s="179"/>
      <c r="E27" s="179"/>
      <c r="F27" s="179"/>
      <c r="G27" s="179"/>
      <c r="H27" s="179"/>
      <c r="I27" s="179"/>
      <c r="J27" s="179"/>
      <c r="K27" s="179"/>
      <c r="L27" s="353"/>
      <c r="M27" s="355"/>
      <c r="N27" s="355"/>
      <c r="O27" s="355"/>
      <c r="P27" s="356"/>
      <c r="Q27" s="179"/>
      <c r="R27" s="360"/>
      <c r="S27" s="361"/>
      <c r="T27" s="361"/>
      <c r="U27" s="361"/>
      <c r="V27" s="362"/>
    </row>
    <row r="28" spans="1:22">
      <c r="A28" s="186" t="s">
        <v>549</v>
      </c>
      <c r="B28" s="187">
        <f>'Emisje - sektor mieszkalny'!F48</f>
        <v>12297.599798936171</v>
      </c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9"/>
      <c r="N28" s="179"/>
      <c r="O28" s="179"/>
      <c r="P28" s="159"/>
      <c r="Q28" s="179"/>
      <c r="R28" s="179"/>
      <c r="S28" s="179"/>
      <c r="T28" s="179"/>
      <c r="U28" s="179"/>
      <c r="V28" s="179"/>
    </row>
    <row r="29" spans="1:22" ht="60">
      <c r="A29" s="186" t="s">
        <v>538</v>
      </c>
      <c r="B29" s="187">
        <f>H22</f>
        <v>227368.3028343957</v>
      </c>
      <c r="C29" s="179"/>
      <c r="D29" s="179"/>
      <c r="E29" s="179"/>
      <c r="F29" s="179"/>
      <c r="G29" s="179"/>
      <c r="H29" s="179"/>
      <c r="I29" s="179"/>
      <c r="J29" s="179"/>
      <c r="K29" s="179"/>
      <c r="L29" s="162" t="s">
        <v>540</v>
      </c>
      <c r="M29" s="162" t="s">
        <v>612</v>
      </c>
      <c r="N29" s="162" t="s">
        <v>617</v>
      </c>
      <c r="O29" s="198" t="s">
        <v>591</v>
      </c>
      <c r="P29" s="159"/>
      <c r="Q29" s="179"/>
      <c r="R29" s="162" t="s">
        <v>540</v>
      </c>
      <c r="S29" s="162" t="s">
        <v>626</v>
      </c>
      <c r="T29" s="162" t="s">
        <v>627</v>
      </c>
      <c r="U29" s="198" t="s">
        <v>591</v>
      </c>
      <c r="V29" s="179"/>
    </row>
    <row r="30" spans="1:22" ht="45">
      <c r="A30" s="186" t="s">
        <v>410</v>
      </c>
      <c r="B30" s="187">
        <f>H23/3.6</f>
        <v>350313.22153009981</v>
      </c>
      <c r="C30" s="179"/>
      <c r="D30" s="179"/>
      <c r="E30" s="179"/>
      <c r="F30" s="179"/>
      <c r="G30" s="179"/>
      <c r="H30" s="179"/>
      <c r="I30" s="179"/>
      <c r="J30" s="179"/>
      <c r="K30" s="179"/>
      <c r="L30" s="162" t="s">
        <v>536</v>
      </c>
      <c r="M30" s="203">
        <f>M16</f>
        <v>86077.302015499998</v>
      </c>
      <c r="N30" s="184">
        <f>'Emisje - transport'!D70+'Emisje - transport'!D69+'Emisje - transport'!D68+'Emisje - transport'!G59</f>
        <v>76619.422015499993</v>
      </c>
      <c r="O30" s="199">
        <f>N30/M30*100</f>
        <v>89.012341490098152</v>
      </c>
      <c r="P30" s="159"/>
      <c r="Q30" s="179"/>
      <c r="R30" s="162" t="s">
        <v>536</v>
      </c>
      <c r="S30" s="184">
        <v>0</v>
      </c>
      <c r="T30" s="184">
        <v>0</v>
      </c>
      <c r="U30" s="199" t="s">
        <v>101</v>
      </c>
      <c r="V30" s="179"/>
    </row>
    <row r="31" spans="1:22" ht="60">
      <c r="A31" s="179"/>
      <c r="B31" s="179"/>
      <c r="C31" s="179"/>
      <c r="D31" s="179"/>
      <c r="E31" s="179"/>
      <c r="F31" s="179"/>
      <c r="G31" s="179"/>
      <c r="H31" s="179"/>
      <c r="I31" s="179"/>
      <c r="J31" s="179"/>
      <c r="K31" s="179"/>
      <c r="L31" s="162" t="s">
        <v>539</v>
      </c>
      <c r="M31" s="203">
        <f t="shared" ref="M31:M35" si="2">M17</f>
        <v>15107.942399999998</v>
      </c>
      <c r="N31" s="186">
        <f>Oświetlenie!D24</f>
        <v>10575.559679999998</v>
      </c>
      <c r="O31" s="199">
        <f t="shared" ref="O31:O35" si="3">N31/M31*100</f>
        <v>70</v>
      </c>
      <c r="P31" s="159"/>
      <c r="Q31" s="179"/>
      <c r="R31" s="162" t="s">
        <v>539</v>
      </c>
      <c r="S31" s="186">
        <v>0</v>
      </c>
      <c r="T31" s="186">
        <v>0</v>
      </c>
      <c r="U31" s="199" t="s">
        <v>101</v>
      </c>
      <c r="V31" s="179"/>
    </row>
    <row r="32" spans="1:22" ht="60">
      <c r="A32" s="162" t="s">
        <v>540</v>
      </c>
      <c r="B32" s="162" t="s">
        <v>585</v>
      </c>
      <c r="C32" s="162" t="s">
        <v>592</v>
      </c>
      <c r="D32" s="198" t="s">
        <v>591</v>
      </c>
      <c r="E32" s="179"/>
      <c r="F32" s="186" t="s">
        <v>553</v>
      </c>
      <c r="G32" s="162" t="s">
        <v>593</v>
      </c>
      <c r="H32" s="162" t="s">
        <v>452</v>
      </c>
      <c r="I32" s="198" t="s">
        <v>591</v>
      </c>
      <c r="J32" s="179"/>
      <c r="K32" s="179"/>
      <c r="L32" s="162" t="s">
        <v>541</v>
      </c>
      <c r="M32" s="203">
        <f t="shared" si="2"/>
        <v>3268.7893946666668</v>
      </c>
      <c r="N32" s="186">
        <f>MZK!I12+MZK!I5+MZK!I4</f>
        <v>3132.6610525238098</v>
      </c>
      <c r="O32" s="199">
        <f t="shared" si="3"/>
        <v>95.835511998265687</v>
      </c>
      <c r="P32" s="159"/>
      <c r="Q32" s="179"/>
      <c r="R32" s="162" t="s">
        <v>541</v>
      </c>
      <c r="S32" s="186">
        <f>S18</f>
        <v>19.939564799999999</v>
      </c>
      <c r="T32" s="186">
        <v>19.939564799999999</v>
      </c>
      <c r="U32" s="199">
        <f t="shared" ref="U32:U35" si="4">T32/S32*100</f>
        <v>100</v>
      </c>
      <c r="V32" s="179"/>
    </row>
    <row r="33" spans="1:22" ht="60">
      <c r="A33" s="162" t="s">
        <v>536</v>
      </c>
      <c r="B33" s="184">
        <f>$B$3</f>
        <v>230415.13554213152</v>
      </c>
      <c r="C33" s="184">
        <f>'Emisje - transport'!D28+'Emisje - transport'!D29+'Emisje - transport'!D30+'Emisje - transport'!G5</f>
        <v>272080.78752632707</v>
      </c>
      <c r="D33" s="199">
        <f>C33/B33*100</f>
        <v>118.08286243269681</v>
      </c>
      <c r="E33" s="179"/>
      <c r="F33" s="186" t="s">
        <v>550</v>
      </c>
      <c r="G33" s="187">
        <f>$E$3</f>
        <v>101158.83224748039</v>
      </c>
      <c r="H33" s="187">
        <f>'Emisje - sektor mieszkalny'!J45+'Emisje - ob. uż. publ.'!F119+'Emisje - usługi i prod.'!H34</f>
        <v>105033.37286716694</v>
      </c>
      <c r="I33" s="199">
        <f>H33/G33*100</f>
        <v>103.83015554213561</v>
      </c>
      <c r="J33" s="179"/>
      <c r="K33" s="179"/>
      <c r="L33" s="162" t="s">
        <v>542</v>
      </c>
      <c r="M33" s="203">
        <f t="shared" si="2"/>
        <v>1270725.692707828</v>
      </c>
      <c r="N33" s="186">
        <f>'Emisje - usługi i prod.'!G65</f>
        <v>1270725.692707828</v>
      </c>
      <c r="O33" s="199">
        <f t="shared" si="3"/>
        <v>100</v>
      </c>
      <c r="P33" s="159"/>
      <c r="Q33" s="179"/>
      <c r="R33" s="162" t="s">
        <v>542</v>
      </c>
      <c r="S33" s="186">
        <f>S19</f>
        <v>42921.6758945806</v>
      </c>
      <c r="T33" s="186">
        <f>'Emisje - usługi i prod.'!H92</f>
        <v>33205.293306932814</v>
      </c>
      <c r="U33" s="199">
        <f t="shared" si="4"/>
        <v>77.362527475599805</v>
      </c>
      <c r="V33" s="179"/>
    </row>
    <row r="34" spans="1:22" ht="30">
      <c r="A34" s="162" t="s">
        <v>539</v>
      </c>
      <c r="B34" s="186">
        <f>$B$4</f>
        <v>1381.82</v>
      </c>
      <c r="C34" s="186">
        <f>Oświetlenie!D7</f>
        <v>1232.587008</v>
      </c>
      <c r="D34" s="199">
        <f t="shared" ref="D34:D38" si="5">C34/B34*100</f>
        <v>89.200258210186561</v>
      </c>
      <c r="E34" s="179"/>
      <c r="F34" s="186" t="s">
        <v>442</v>
      </c>
      <c r="G34" s="187">
        <f>$E$4</f>
        <v>41877.561883718467</v>
      </c>
      <c r="H34" s="187">
        <f>'Emisje - sektor mieszkalny'!J47+'Emisje - ob. uż. publ.'!F120+'Emisje - usługi i prod.'!H36</f>
        <v>34584.154158027057</v>
      </c>
      <c r="I34" s="199">
        <f t="shared" ref="I34:I40" si="6">H34/G34*100</f>
        <v>82.583972424318702</v>
      </c>
      <c r="J34" s="179"/>
      <c r="K34" s="179"/>
      <c r="L34" s="162" t="s">
        <v>543</v>
      </c>
      <c r="M34" s="203">
        <f t="shared" si="2"/>
        <v>2652606.3809880037</v>
      </c>
      <c r="N34" s="186">
        <f>'Emisje - sektor mieszkalny'!J104</f>
        <v>2365503.4403587757</v>
      </c>
      <c r="O34" s="199">
        <f t="shared" si="3"/>
        <v>89.17657204299222</v>
      </c>
      <c r="P34" s="159"/>
      <c r="Q34" s="179"/>
      <c r="R34" s="162" t="s">
        <v>543</v>
      </c>
      <c r="S34" s="186">
        <f>S20</f>
        <v>295366.89180345851</v>
      </c>
      <c r="T34" s="186">
        <f>'Emisje - sektor mieszkalny'!J130</f>
        <v>167822.05732403402</v>
      </c>
      <c r="U34" s="199">
        <f t="shared" si="4"/>
        <v>56.818168176988934</v>
      </c>
      <c r="V34" s="179"/>
    </row>
    <row r="35" spans="1:22" ht="60.75" thickBot="1">
      <c r="A35" s="162" t="s">
        <v>541</v>
      </c>
      <c r="B35" s="186">
        <f>$B$5</f>
        <v>1726.2746726000003</v>
      </c>
      <c r="C35" s="186">
        <f>MZK!D3+MZK!D4+MZK!D5</f>
        <v>1726.2746726000003</v>
      </c>
      <c r="D35" s="199">
        <f t="shared" si="5"/>
        <v>100</v>
      </c>
      <c r="E35" s="179"/>
      <c r="F35" s="186" t="s">
        <v>537</v>
      </c>
      <c r="G35" s="187">
        <f>$E$5</f>
        <v>3964.0185143321514</v>
      </c>
      <c r="H35" s="187">
        <f>'Emisje - sektor mieszkalny'!J49</f>
        <v>4230.4798388655581</v>
      </c>
      <c r="I35" s="199">
        <f t="shared" si="6"/>
        <v>106.72199999999998</v>
      </c>
      <c r="J35" s="179"/>
      <c r="K35" s="179"/>
      <c r="L35" s="162" t="s">
        <v>544</v>
      </c>
      <c r="M35" s="203">
        <f t="shared" si="2"/>
        <v>62143.093992728871</v>
      </c>
      <c r="N35" s="189">
        <f>'Emisje - ob. uż. publ.'!N144</f>
        <v>55056.650713997922</v>
      </c>
      <c r="O35" s="199">
        <f t="shared" si="3"/>
        <v>88.596571519982405</v>
      </c>
      <c r="P35" s="159"/>
      <c r="Q35" s="179"/>
      <c r="R35" s="162" t="s">
        <v>544</v>
      </c>
      <c r="S35" s="189">
        <f>S21</f>
        <v>5003.5755332079998</v>
      </c>
      <c r="T35" s="189">
        <f>'Emisje - ob. uż. publ.'!N167</f>
        <v>3265.6902276428468</v>
      </c>
      <c r="U35" s="199">
        <f t="shared" si="4"/>
        <v>65.267131593576195</v>
      </c>
      <c r="V35" s="179"/>
    </row>
    <row r="36" spans="1:22" ht="60" customHeight="1" thickBot="1">
      <c r="A36" s="162" t="s">
        <v>542</v>
      </c>
      <c r="B36" s="186">
        <f>$B$6</f>
        <v>183669.01199626227</v>
      </c>
      <c r="C36" s="186">
        <f>'Emisje - usługi i prod.'!H38</f>
        <v>185824.93091420789</v>
      </c>
      <c r="D36" s="199">
        <f t="shared" si="5"/>
        <v>101.17380656350974</v>
      </c>
      <c r="E36" s="179"/>
      <c r="F36" s="186" t="s">
        <v>545</v>
      </c>
      <c r="G36" s="187">
        <f>$E$6</f>
        <v>231905.47175873152</v>
      </c>
      <c r="H36" s="187">
        <v>273571.12374292704</v>
      </c>
      <c r="I36" s="199">
        <f t="shared" si="6"/>
        <v>117.96665325238354</v>
      </c>
      <c r="J36" s="179"/>
      <c r="K36" s="179"/>
      <c r="L36" s="196"/>
      <c r="M36" s="190">
        <f>M35+M34+M33+M32+M31+M30</f>
        <v>4089929.2014987273</v>
      </c>
      <c r="N36" s="190">
        <f>N35+N34+N33+N32+N31+N30</f>
        <v>3781613.4265286252</v>
      </c>
      <c r="O36" s="204"/>
      <c r="P36" s="179"/>
      <c r="Q36" s="179"/>
      <c r="R36" s="196"/>
      <c r="S36" s="190">
        <f>S35+S34+S33+S32</f>
        <v>343312.08279604709</v>
      </c>
      <c r="T36" s="190">
        <f>T35+T34+T33+T32+T31+T30</f>
        <v>204312.9804234097</v>
      </c>
      <c r="U36" s="204"/>
      <c r="V36" s="179"/>
    </row>
    <row r="37" spans="1:22" ht="30" customHeight="1">
      <c r="A37" s="162" t="s">
        <v>543</v>
      </c>
      <c r="B37" s="186">
        <f>$B$7</f>
        <v>91927.502008561583</v>
      </c>
      <c r="C37" s="186">
        <f>'Emisje - sektor mieszkalny'!J52</f>
        <v>86580.522195266938</v>
      </c>
      <c r="D37" s="199">
        <f t="shared" si="5"/>
        <v>94.183481878147134</v>
      </c>
      <c r="E37" s="179"/>
      <c r="F37" s="186" t="s">
        <v>132</v>
      </c>
      <c r="G37" s="187">
        <f>$E$7</f>
        <v>4046.1033165230497</v>
      </c>
      <c r="H37" s="187">
        <f>'Emisje - sektor mieszkalny'!J46+'Emisje - ob. uż. publ.'!F121+'Emisje - usługi i prod.'!H35+MZK!D5</f>
        <v>3417.6516185397736</v>
      </c>
      <c r="I37" s="199">
        <f t="shared" si="6"/>
        <v>84.467729842268952</v>
      </c>
      <c r="J37" s="179"/>
      <c r="K37" s="179"/>
      <c r="L37" s="159"/>
      <c r="M37" s="159"/>
      <c r="N37" s="159"/>
      <c r="O37" s="159"/>
      <c r="P37" s="179"/>
      <c r="Q37" s="179"/>
      <c r="R37" s="159"/>
      <c r="S37" s="159"/>
      <c r="T37" s="159"/>
      <c r="U37" s="159"/>
      <c r="V37" s="179"/>
    </row>
    <row r="38" spans="1:22" ht="63" customHeight="1" thickBot="1">
      <c r="A38" s="162" t="s">
        <v>544</v>
      </c>
      <c r="B38" s="189">
        <f>$B$8</f>
        <v>11444.852693749999</v>
      </c>
      <c r="C38" s="189">
        <f>'Emisje - ob. uż. publ.'!F123</f>
        <v>11716.015521454869</v>
      </c>
      <c r="D38" s="199">
        <f t="shared" si="5"/>
        <v>102.36929941311476</v>
      </c>
      <c r="E38" s="179"/>
      <c r="F38" s="186" t="s">
        <v>548</v>
      </c>
      <c r="G38" s="187">
        <f>$E$8</f>
        <v>0</v>
      </c>
      <c r="H38" s="162">
        <v>0</v>
      </c>
      <c r="I38" s="199" t="s">
        <v>101</v>
      </c>
      <c r="J38" s="179"/>
      <c r="K38" s="179"/>
      <c r="L38" s="186" t="s">
        <v>553</v>
      </c>
      <c r="M38" s="162" t="s">
        <v>618</v>
      </c>
      <c r="N38" s="162" t="s">
        <v>607</v>
      </c>
      <c r="O38" s="198" t="s">
        <v>591</v>
      </c>
      <c r="P38" s="179"/>
      <c r="Q38" s="179"/>
      <c r="R38" s="186" t="s">
        <v>553</v>
      </c>
      <c r="S38" s="162" t="s">
        <v>628</v>
      </c>
      <c r="T38" s="162" t="s">
        <v>622</v>
      </c>
      <c r="U38" s="198" t="s">
        <v>591</v>
      </c>
      <c r="V38" s="179"/>
    </row>
    <row r="39" spans="1:22" ht="46.5" customHeight="1" thickBot="1">
      <c r="A39" s="196"/>
      <c r="B39" s="200">
        <f>B38+B37+B36+B35+B34+B33</f>
        <v>520564.59691330534</v>
      </c>
      <c r="C39" s="201">
        <v>558694.30002187192</v>
      </c>
      <c r="D39" s="159"/>
      <c r="E39" s="179"/>
      <c r="F39" s="186" t="s">
        <v>130</v>
      </c>
      <c r="G39" s="187">
        <f>$E$9</f>
        <v>103095.8333761</v>
      </c>
      <c r="H39" s="187">
        <f>'Emisje - sektor mieszkalny'!J44+'Emisje - ob. uż. publ.'!F118+'Emisje - usługi i prod.'!H33+MZK!D4+Oświetlenie!D7</f>
        <v>101406.64466414049</v>
      </c>
      <c r="I39" s="199">
        <f t="shared" si="6"/>
        <v>98.36153542132277</v>
      </c>
      <c r="J39" s="179"/>
      <c r="K39" s="179"/>
      <c r="L39" s="186" t="s">
        <v>550</v>
      </c>
      <c r="M39" s="203">
        <f>P16</f>
        <v>212433.54771970882</v>
      </c>
      <c r="N39" s="187">
        <f>'Emisje - sektor mieszkalny'!J97+'Emisje - ob. uż. publ.'!N140+'Emisje - usługi i prod.'!G61</f>
        <v>212031.08977310502</v>
      </c>
      <c r="O39" s="199">
        <f t="shared" ref="O39" si="7">N39/M39*100</f>
        <v>99.810548780583929</v>
      </c>
      <c r="P39" s="179"/>
      <c r="Q39" s="179"/>
      <c r="R39" s="186" t="s">
        <v>550</v>
      </c>
      <c r="S39" s="187">
        <f>V16</f>
        <v>25331.92794177305</v>
      </c>
      <c r="T39" s="187">
        <f>'Emisje - sektor mieszkalny'!J123+'Emisje - ob. uż. publ.'!N163+'Emisje - usługi i prod.'!H88</f>
        <v>24319.050349756595</v>
      </c>
      <c r="U39" s="199">
        <f t="shared" ref="U39:U41" si="8">T39/S39*100</f>
        <v>96.00157716244648</v>
      </c>
      <c r="V39" s="179"/>
    </row>
    <row r="40" spans="1:22" ht="15" customHeight="1" thickBot="1">
      <c r="A40" s="159"/>
      <c r="B40" s="159"/>
      <c r="C40" s="159"/>
      <c r="D40" s="159"/>
      <c r="E40" s="179"/>
      <c r="F40" s="186" t="s">
        <v>473</v>
      </c>
      <c r="G40" s="187">
        <f>$E$10</f>
        <v>34516.77581641978</v>
      </c>
      <c r="H40" s="191">
        <f>'Emisje - sektor mieszkalny'!J50+'Emisje - sektor mieszkalny'!J51+'Emisje - ob. uż. publ.'!F122+'Emisje - usługi i prod.'!H37</f>
        <v>36917.690948189884</v>
      </c>
      <c r="I40" s="199">
        <f t="shared" si="6"/>
        <v>106.95579200253107</v>
      </c>
      <c r="J40" s="179"/>
      <c r="K40" s="179"/>
      <c r="L40" s="186" t="s">
        <v>442</v>
      </c>
      <c r="M40" s="203">
        <f t="shared" ref="M40:M46" si="9">P17</f>
        <v>468817.98838376644</v>
      </c>
      <c r="N40" s="187">
        <f>'Emisje - sektor mieszkalny'!J99+'Emisje - ob. uż. publ.'!N141+'Emisje - usługi i prod.'!G63</f>
        <v>261269.37217815479</v>
      </c>
      <c r="O40" s="199">
        <f t="shared" ref="O40" si="10">N40/M40*100</f>
        <v>55.729382969896648</v>
      </c>
      <c r="P40" s="179"/>
      <c r="Q40" s="179"/>
      <c r="R40" s="186" t="s">
        <v>442</v>
      </c>
      <c r="S40" s="187">
        <f>V17</f>
        <v>293292.02329787234</v>
      </c>
      <c r="T40" s="187">
        <f>'Emisje - sektor mieszkalny'!J125+'Emisje - ob. uż. publ.'!N164+'Emisje - usługi i prod.'!H90</f>
        <v>154828.37763495481</v>
      </c>
      <c r="U40" s="199">
        <f t="shared" si="8"/>
        <v>52.789835841429792</v>
      </c>
      <c r="V40" s="179"/>
    </row>
    <row r="41" spans="1:22" ht="15" customHeight="1" thickBot="1">
      <c r="A41" s="179"/>
      <c r="B41" s="179"/>
      <c r="C41" s="179"/>
      <c r="D41" s="179"/>
      <c r="E41" s="179"/>
      <c r="F41" s="175"/>
      <c r="G41" s="200">
        <f>G40+G39+G38+G37+G36+G35+G34+G33</f>
        <v>520564.59691330534</v>
      </c>
      <c r="H41" s="201">
        <v>558694.30002187192</v>
      </c>
      <c r="I41" s="159"/>
      <c r="J41" s="179"/>
      <c r="K41" s="179"/>
      <c r="L41" s="186" t="s">
        <v>537</v>
      </c>
      <c r="M41" s="203">
        <f t="shared" si="9"/>
        <v>45085.961377068561</v>
      </c>
      <c r="N41" s="187">
        <f>'Emisje - sektor mieszkalny'!J101</f>
        <v>43823.55445851064</v>
      </c>
      <c r="O41" s="199">
        <f t="shared" ref="O41" si="11">N41/M41*100</f>
        <v>97.2</v>
      </c>
      <c r="P41" s="179"/>
      <c r="Q41" s="179"/>
      <c r="R41" s="186" t="s">
        <v>537</v>
      </c>
      <c r="S41" s="187">
        <f>V18</f>
        <v>24086.627659574468</v>
      </c>
      <c r="T41" s="187">
        <f>'Emisje - sektor mieszkalny'!J127</f>
        <v>23412.202085106383</v>
      </c>
      <c r="U41" s="199">
        <f t="shared" si="8"/>
        <v>97.2</v>
      </c>
      <c r="V41" s="179"/>
    </row>
    <row r="42" spans="1:22" ht="15.75" customHeight="1">
      <c r="A42" s="179"/>
      <c r="B42" s="179"/>
      <c r="C42" s="179"/>
      <c r="D42" s="179"/>
      <c r="E42" s="179"/>
      <c r="F42" s="179"/>
      <c r="G42" s="179"/>
      <c r="H42" s="179"/>
      <c r="I42" s="179"/>
      <c r="J42" s="179"/>
      <c r="K42" s="179"/>
      <c r="L42" s="186" t="s">
        <v>545</v>
      </c>
      <c r="M42" s="203">
        <f t="shared" si="9"/>
        <v>86546.325015499999</v>
      </c>
      <c r="N42" s="187">
        <f>'Emisje - transport'!D68+'Emisje - transport'!D69+'Emisje - transport'!D70+'Emisje - transport'!G59+MZK!I12</f>
        <v>76952.316673357142</v>
      </c>
      <c r="O42" s="199">
        <f t="shared" ref="O42" si="12">N42/M42*100</f>
        <v>88.914597655735676</v>
      </c>
      <c r="P42" s="179"/>
      <c r="Q42" s="179"/>
      <c r="R42" s="186" t="s">
        <v>545</v>
      </c>
      <c r="S42" s="187">
        <v>0</v>
      </c>
      <c r="T42" s="187">
        <v>0</v>
      </c>
      <c r="U42" s="199" t="s">
        <v>101</v>
      </c>
      <c r="V42" s="179"/>
    </row>
    <row r="43" spans="1:22" ht="20.25">
      <c r="A43" s="394" t="s">
        <v>589</v>
      </c>
      <c r="B43" s="395"/>
      <c r="C43" s="395"/>
      <c r="D43" s="395"/>
      <c r="E43" s="395"/>
      <c r="F43" s="395"/>
      <c r="G43" s="395"/>
      <c r="H43" s="395"/>
      <c r="I43" s="396"/>
      <c r="J43" s="179"/>
      <c r="K43" s="179"/>
      <c r="L43" s="186" t="s">
        <v>132</v>
      </c>
      <c r="M43" s="203">
        <f t="shared" si="9"/>
        <v>48852.951155056071</v>
      </c>
      <c r="N43" s="187">
        <f>MZK!I5+'Emisje - usługi i prod.'!G62+'Emisje - ob. uż. publ.'!N142+'Emisje - sektor mieszkalny'!J98</f>
        <v>42621.800005069788</v>
      </c>
      <c r="O43" s="199">
        <f t="shared" ref="O43" si="13">N43/M43*100</f>
        <v>87.245087548121674</v>
      </c>
      <c r="P43" s="179"/>
      <c r="Q43" s="179"/>
      <c r="R43" s="186" t="s">
        <v>132</v>
      </c>
      <c r="S43" s="187">
        <f>V20</f>
        <v>417.90402546331904</v>
      </c>
      <c r="T43" s="187">
        <f>'Emisje - sektor mieszkalny'!J124+'Emisje - ob. uż. publ.'!N165+'Emisje - usługi i prod.'!H89+MZK!D21</f>
        <v>234.62432967158003</v>
      </c>
      <c r="U43" s="199">
        <f t="shared" ref="U43" si="14">T43/S43*100</f>
        <v>56.143113101497001</v>
      </c>
      <c r="V43" s="179"/>
    </row>
    <row r="44" spans="1:22" ht="45">
      <c r="A44" s="197"/>
      <c r="B44" s="197"/>
      <c r="C44" s="197"/>
      <c r="D44" s="197"/>
      <c r="E44" s="197"/>
      <c r="F44" s="197"/>
      <c r="G44" s="197"/>
      <c r="H44" s="197"/>
      <c r="I44" s="197"/>
      <c r="J44" s="179"/>
      <c r="K44" s="179"/>
      <c r="L44" s="186" t="s">
        <v>548</v>
      </c>
      <c r="M44" s="203">
        <f t="shared" si="9"/>
        <v>155441.72906028372</v>
      </c>
      <c r="N44" s="187">
        <f>'Emisje - sektor mieszkalny'!J100</f>
        <v>125907.80053882979</v>
      </c>
      <c r="O44" s="199">
        <f t="shared" ref="O44" si="15">N44/M44*100</f>
        <v>80.999999999999986</v>
      </c>
      <c r="P44" s="179"/>
      <c r="Q44" s="179"/>
      <c r="R44" s="186" t="s">
        <v>548</v>
      </c>
      <c r="S44" s="187">
        <v>0</v>
      </c>
      <c r="T44" s="187">
        <v>0</v>
      </c>
      <c r="U44" s="199" t="s">
        <v>101</v>
      </c>
      <c r="V44" s="179"/>
    </row>
    <row r="45" spans="1:22" ht="60">
      <c r="A45" s="162" t="s">
        <v>540</v>
      </c>
      <c r="B45" s="162" t="s">
        <v>693</v>
      </c>
      <c r="C45" s="162" t="s">
        <v>694</v>
      </c>
      <c r="D45" s="198" t="s">
        <v>591</v>
      </c>
      <c r="E45" s="159"/>
      <c r="F45" s="162" t="s">
        <v>540</v>
      </c>
      <c r="G45" s="162" t="s">
        <v>692</v>
      </c>
      <c r="H45" s="162" t="s">
        <v>694</v>
      </c>
      <c r="I45" s="198" t="s">
        <v>591</v>
      </c>
      <c r="J45" s="179"/>
      <c r="K45" s="179"/>
      <c r="L45" s="186" t="s">
        <v>130</v>
      </c>
      <c r="M45" s="203">
        <f t="shared" si="9"/>
        <v>1137150.696522</v>
      </c>
      <c r="N45" s="187">
        <f>'Emisje - sektor mieszkalny'!J96+'Emisje - ob. uż. publ.'!N139+'Emisje - usługi i prod.'!G60+MZK!I4+Oświetlenie!D24</f>
        <v>1133503.0663946669</v>
      </c>
      <c r="O45" s="199">
        <f t="shared" ref="O45" si="16">N45/M45*100</f>
        <v>99.679230717750116</v>
      </c>
      <c r="P45" s="179"/>
      <c r="Q45" s="179"/>
      <c r="R45" s="186" t="s">
        <v>130</v>
      </c>
      <c r="S45" s="187">
        <v>0</v>
      </c>
      <c r="T45" s="187">
        <v>0</v>
      </c>
      <c r="U45" s="199" t="s">
        <v>101</v>
      </c>
      <c r="V45" s="179"/>
    </row>
    <row r="46" spans="1:22" ht="30.75" thickBot="1">
      <c r="A46" s="162" t="s">
        <v>536</v>
      </c>
      <c r="B46" s="184">
        <f>$H$3</f>
        <v>907146.20292177773</v>
      </c>
      <c r="C46" s="184">
        <f>'Emisje - transport'!C28+'Emisje - transport'!C29+'Emisje - transport'!C30+'Emisje - transport'!N5</f>
        <v>1012335.1717484442</v>
      </c>
      <c r="D46" s="199">
        <f>C46/B46*100</f>
        <v>111.59559159128585</v>
      </c>
      <c r="E46" s="159"/>
      <c r="F46" s="186" t="s">
        <v>462</v>
      </c>
      <c r="G46" s="187">
        <f>$K$3</f>
        <v>505794.16123740195</v>
      </c>
      <c r="H46" s="187">
        <f>'Emisje - sektor mieszkalny'!H58+'Emisje - ob. uż. publ.'!M119+'Emisje - usługi i prod.'!F43</f>
        <v>514612.63920400961</v>
      </c>
      <c r="I46" s="199">
        <f>H46/G46*100</f>
        <v>101.74349145214205</v>
      </c>
      <c r="J46" s="179"/>
      <c r="K46" s="179"/>
      <c r="L46" s="186" t="s">
        <v>473</v>
      </c>
      <c r="M46" s="203">
        <f t="shared" si="9"/>
        <v>1935600.0022653441</v>
      </c>
      <c r="N46" s="191">
        <f>'Emisje - sektor mieszkalny'!J102+'Emisje - sektor mieszkalny'!J103+'Emisje - ob. uż. publ.'!N143+'Emisje - usługi i prod.'!G64</f>
        <v>1885504.4265069314</v>
      </c>
      <c r="O46" s="199">
        <f t="shared" ref="O46" si="17">N46/M46*100</f>
        <v>97.411883875811995</v>
      </c>
      <c r="P46" s="179"/>
      <c r="Q46" s="179"/>
      <c r="R46" s="186" t="s">
        <v>473</v>
      </c>
      <c r="S46" s="191">
        <f>V23</f>
        <v>183.59987136393499</v>
      </c>
      <c r="T46" s="191">
        <f>'Emisje - sektor mieszkalny'!J128+'Emisje - sektor mieszkalny'!J129+'Emisje - ob. uż. publ.'!N166+'Emisje - usługi i prod.'!H91</f>
        <v>1518.7260239203151</v>
      </c>
      <c r="U46" s="199">
        <f t="shared" ref="U46" si="18">T46/S46*100</f>
        <v>827.19340304431307</v>
      </c>
      <c r="V46" s="179"/>
    </row>
    <row r="47" spans="1:22" ht="30.75" thickBot="1">
      <c r="A47" s="162" t="s">
        <v>539</v>
      </c>
      <c r="B47" s="186">
        <f>$H$4</f>
        <v>3070.72</v>
      </c>
      <c r="C47" s="186">
        <f>Oświetlenie!C12</f>
        <v>2456.576</v>
      </c>
      <c r="D47" s="199">
        <f t="shared" ref="D47:D51" si="19">C47/B47*100</f>
        <v>80</v>
      </c>
      <c r="E47" s="159"/>
      <c r="F47" s="186" t="s">
        <v>514</v>
      </c>
      <c r="G47" s="187">
        <f>$K$4</f>
        <v>131690.4461752153</v>
      </c>
      <c r="H47" s="187">
        <f>'Emisje - sektor mieszkalny'!H60+'Emisje - ob. uż. publ.'!M120+'Emisje - usługi i prod.'!F45</f>
        <v>89318.039033656518</v>
      </c>
      <c r="I47" s="199">
        <f t="shared" ref="I47:I53" si="20">H47/G47*100</f>
        <v>67.824236023027879</v>
      </c>
      <c r="J47" s="179"/>
      <c r="K47" s="179"/>
      <c r="L47" s="175"/>
      <c r="M47" s="190">
        <f>M46+M45+M44+M43+M42+M41+M40+M39</f>
        <v>4089929.2014987278</v>
      </c>
      <c r="N47" s="190">
        <f>N46+N45+N44+N43+N42+N41+N40+N39</f>
        <v>3781613.4265286257</v>
      </c>
      <c r="O47" s="204"/>
      <c r="P47" s="179"/>
      <c r="Q47" s="179"/>
      <c r="R47" s="175"/>
      <c r="S47" s="190">
        <f>S46+S45+S44+S43+S42+S41+S40+S39</f>
        <v>343312.08279604709</v>
      </c>
      <c r="T47" s="190">
        <f>T46+T43+T41+T40+T39</f>
        <v>204312.98042340967</v>
      </c>
      <c r="U47" s="204"/>
      <c r="V47" s="179"/>
    </row>
    <row r="48" spans="1:22">
      <c r="A48" s="162" t="s">
        <v>541</v>
      </c>
      <c r="B48" s="186">
        <f>$H$5</f>
        <v>6455.4590749999998</v>
      </c>
      <c r="C48" s="186">
        <f>MZK!C4+MZK!C5+MZK!B11</f>
        <v>5079.8416499645828</v>
      </c>
      <c r="D48" s="199">
        <f t="shared" si="19"/>
        <v>78.690633631885945</v>
      </c>
      <c r="E48" s="159"/>
      <c r="F48" s="186" t="s">
        <v>537</v>
      </c>
      <c r="G48" s="187">
        <f>$K$5</f>
        <v>12664.595892434989</v>
      </c>
      <c r="H48" s="187">
        <f>'Emisje - sektor mieszkalny'!H62</f>
        <v>13144.267461860962</v>
      </c>
      <c r="I48" s="199">
        <f t="shared" si="20"/>
        <v>103.78749999999999</v>
      </c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85"/>
      <c r="V48" s="179"/>
    </row>
    <row r="49" spans="1:22" ht="30">
      <c r="A49" s="162" t="s">
        <v>542</v>
      </c>
      <c r="B49" s="186">
        <f>$H$6</f>
        <v>742858.4518724177</v>
      </c>
      <c r="C49" s="186">
        <f>'Emisje - usługi i prod.'!F47</f>
        <v>736046.55820428242</v>
      </c>
      <c r="D49" s="199">
        <f t="shared" si="19"/>
        <v>99.083015929755462</v>
      </c>
      <c r="E49" s="159"/>
      <c r="F49" s="186" t="s">
        <v>546</v>
      </c>
      <c r="G49" s="187">
        <f>$K$6</f>
        <v>912791.41586344445</v>
      </c>
      <c r="H49" s="187">
        <f>MZK!B11+'Emisje - transport'!N5+'Emisje - transport'!C28+'Emisje - transport'!C29+'Emisje - transport'!C30</f>
        <v>1016604.7672650756</v>
      </c>
      <c r="I49" s="199">
        <f t="shared" si="20"/>
        <v>111.37317349806912</v>
      </c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</row>
    <row r="50" spans="1:22">
      <c r="A50" s="162" t="s">
        <v>543</v>
      </c>
      <c r="B50" s="186">
        <f>$H$7</f>
        <v>1343140.2368238652</v>
      </c>
      <c r="C50" s="186">
        <f>'Emisje - sektor mieszkalny'!H65</f>
        <v>1339903.7468849055</v>
      </c>
      <c r="D50" s="199">
        <f t="shared" si="19"/>
        <v>99.75903559060869</v>
      </c>
      <c r="E50" s="159"/>
      <c r="F50" s="186" t="s">
        <v>132</v>
      </c>
      <c r="G50" s="187">
        <f>$K$7</f>
        <v>14985.567838974255</v>
      </c>
      <c r="H50" s="187">
        <f>'Emisje - sektor mieszkalny'!H59+'Emisje - ob. uż. publ.'!M121+'Emisje - usługi i prod.'!F44+MZK!C5</f>
        <v>10563.168958196089</v>
      </c>
      <c r="I50" s="199">
        <f t="shared" si="20"/>
        <v>70.488946910130068</v>
      </c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</row>
    <row r="51" spans="1:22" ht="30.75" thickBot="1">
      <c r="A51" s="162" t="s">
        <v>544</v>
      </c>
      <c r="B51" s="189">
        <f>$H$8</f>
        <v>41553.616513111105</v>
      </c>
      <c r="C51" s="189">
        <f>'Emisje - ob. uż. publ.'!M123</f>
        <v>41824.288083734442</v>
      </c>
      <c r="D51" s="199">
        <f t="shared" si="19"/>
        <v>100.65137909365345</v>
      </c>
      <c r="E51" s="159"/>
      <c r="F51" s="186" t="s">
        <v>466</v>
      </c>
      <c r="G51" s="187">
        <f>$K$8</f>
        <v>54926.406028368801</v>
      </c>
      <c r="H51" s="187">
        <f>'Emisje - sektor mieszkalny'!H61</f>
        <v>49571.081440602829</v>
      </c>
      <c r="I51" s="199">
        <f t="shared" si="20"/>
        <v>90.249999999999972</v>
      </c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</row>
    <row r="52" spans="1:22" ht="15.75" thickBot="1">
      <c r="A52" s="159"/>
      <c r="B52" s="200">
        <f>B51+B50+B49+B48+B47+B46</f>
        <v>3044224.6872061724</v>
      </c>
      <c r="C52" s="201">
        <f>C51+C50+C49+C48+C47+C46</f>
        <v>3137646.182571331</v>
      </c>
      <c r="D52" s="159"/>
      <c r="E52" s="159"/>
      <c r="F52" s="186" t="s">
        <v>130</v>
      </c>
      <c r="G52" s="187">
        <f>$K$9</f>
        <v>231128.19034999999</v>
      </c>
      <c r="H52" s="187">
        <f>'Emisje - sektor mieszkalny'!H57+'Emisje - ob. uż. publ.'!M118+'Emisje - usługi i prod.'!F42+MZK!C4+Oświetlenie!C12</f>
        <v>216773.72210809114</v>
      </c>
      <c r="I52" s="199">
        <f t="shared" si="20"/>
        <v>93.78939097815298</v>
      </c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</row>
    <row r="53" spans="1:22" ht="15.75" thickBot="1">
      <c r="A53" s="159"/>
      <c r="B53" s="159"/>
      <c r="C53" s="159"/>
      <c r="D53" s="159"/>
      <c r="E53" s="159"/>
      <c r="F53" s="186" t="s">
        <v>333</v>
      </c>
      <c r="G53" s="191">
        <f>$K$10</f>
        <v>1180243.9038203321</v>
      </c>
      <c r="H53" s="191">
        <f>'Emisje - sektor mieszkalny'!H63+'Emisje - sektor mieszkalny'!H64+'Emisje - ob. uż. publ.'!M122+'Emisje - usługi i prod.'!F46</f>
        <v>1227058.4970998387</v>
      </c>
      <c r="I53" s="199">
        <f t="shared" si="20"/>
        <v>103.96651854146184</v>
      </c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</row>
    <row r="54" spans="1:22" ht="15.75" thickBot="1">
      <c r="A54" s="159"/>
      <c r="B54" s="159"/>
      <c r="C54" s="159"/>
      <c r="D54" s="159"/>
      <c r="E54" s="159"/>
      <c r="F54" s="175"/>
      <c r="G54" s="200">
        <f>G53+G52+G51+G50+G49+G48+G47+G46</f>
        <v>3044224.6872061719</v>
      </c>
      <c r="H54" s="201">
        <f>H53+H52+H51+H50+H49+H48+H47+H46</f>
        <v>3137646.1825713315</v>
      </c>
      <c r="I54" s="15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</row>
    <row r="55" spans="1:22" ht="29.25" customHeight="1">
      <c r="A55" s="179"/>
      <c r="B55" s="179"/>
      <c r="C55" s="179"/>
      <c r="D55" s="179"/>
      <c r="E55" s="179"/>
      <c r="F55" s="179"/>
      <c r="G55" s="179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</row>
    <row r="56" spans="1:22" ht="60">
      <c r="A56" s="186" t="s">
        <v>553</v>
      </c>
      <c r="B56" s="162" t="s">
        <v>526</v>
      </c>
      <c r="C56" s="159"/>
      <c r="D56" s="179"/>
      <c r="E56" s="179"/>
      <c r="F56" s="162" t="s">
        <v>540</v>
      </c>
      <c r="G56" s="162" t="s">
        <v>585</v>
      </c>
      <c r="H56" s="162" t="s">
        <v>592</v>
      </c>
      <c r="I56" s="198" t="s">
        <v>591</v>
      </c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</row>
    <row r="57" spans="1:22" ht="30">
      <c r="A57" s="186" t="s">
        <v>551</v>
      </c>
      <c r="B57" s="187">
        <f>'Emisje - sektor mieszkalny'!F58+'Emisje - ob. uż. publ.'!K119+'Emisje - usługi i prod.'!C43</f>
        <v>51547175.880201302</v>
      </c>
      <c r="C57" s="159"/>
      <c r="D57" s="179"/>
      <c r="E57" s="179"/>
      <c r="F57" s="162" t="s">
        <v>536</v>
      </c>
      <c r="G57" s="184">
        <f>$B$3</f>
        <v>230415.13554213152</v>
      </c>
      <c r="H57" s="184">
        <f>'Emisje - transport'!D28+'Emisje - transport'!D29+'Emisje - transport'!D30+'Emisje - transport'!O5</f>
        <v>257133.13362410487</v>
      </c>
      <c r="I57" s="199">
        <f>H57/G57*100</f>
        <v>111.59559159128587</v>
      </c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</row>
    <row r="58" spans="1:22" ht="30">
      <c r="A58" s="186" t="s">
        <v>520</v>
      </c>
      <c r="B58" s="187">
        <f>'Emisje - sektor mieszkalny'!F60+'Emisje - ob. uż. publ.'!K120+'Emisje - usługi i prod.'!C45</f>
        <v>14208.79100844735</v>
      </c>
      <c r="C58" s="159"/>
      <c r="D58" s="179"/>
      <c r="E58" s="179"/>
      <c r="F58" s="162" t="s">
        <v>539</v>
      </c>
      <c r="G58" s="186">
        <f>$B$4</f>
        <v>1381.82</v>
      </c>
      <c r="H58" s="186">
        <f>Oświetlenie!D12</f>
        <v>1095.6328960000001</v>
      </c>
      <c r="I58" s="199">
        <f t="shared" ref="I58:I62" si="21">H58/G58*100</f>
        <v>79.289118409054737</v>
      </c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</row>
    <row r="59" spans="1:22" ht="30">
      <c r="A59" s="186" t="s">
        <v>228</v>
      </c>
      <c r="B59" s="187">
        <f>'Emisje - sektor mieszkalny'!F62</f>
        <v>1785.636334441489</v>
      </c>
      <c r="C59" s="159"/>
      <c r="D59" s="179"/>
      <c r="E59" s="179"/>
      <c r="F59" s="162" t="s">
        <v>541</v>
      </c>
      <c r="G59" s="186">
        <f>$B$5</f>
        <v>1726.2746726000003</v>
      </c>
      <c r="H59" s="186">
        <f>MZK!B12+MZK!D5+MZK!D4</f>
        <v>1363.11167239065</v>
      </c>
      <c r="I59" s="199">
        <f t="shared" si="21"/>
        <v>78.962617828229014</v>
      </c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</row>
    <row r="60" spans="1:22" ht="30">
      <c r="A60" s="186" t="s">
        <v>547</v>
      </c>
      <c r="B60" s="187">
        <f>MZK!B10+'Emisje - transport'!P32+'Emisje - transport'!P29+'Emisje - transport'!P26+'Emisje - transport'!M5</f>
        <v>81703094.160892844</v>
      </c>
      <c r="C60" s="185"/>
      <c r="D60" s="179"/>
      <c r="E60" s="179"/>
      <c r="F60" s="162" t="s">
        <v>542</v>
      </c>
      <c r="G60" s="186">
        <f>$B$6</f>
        <v>183669.01199626227</v>
      </c>
      <c r="H60" s="186">
        <f>'Emisje - usługi i prod.'!H47</f>
        <v>177677.05718335745</v>
      </c>
      <c r="I60" s="199">
        <f t="shared" si="21"/>
        <v>96.737634319595102</v>
      </c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</row>
    <row r="61" spans="1:22">
      <c r="A61" s="186" t="s">
        <v>409</v>
      </c>
      <c r="B61" s="187">
        <f>'Emisje - sektor mieszkalny'!F59+'Emisje - ob. uż. publ.'!K121+'Emisje - usługi i prod.'!C44+MZK!B5</f>
        <v>946190.799937943</v>
      </c>
      <c r="C61" s="159"/>
      <c r="D61" s="179"/>
      <c r="E61" s="179"/>
      <c r="F61" s="162" t="s">
        <v>543</v>
      </c>
      <c r="G61" s="186">
        <f>$B$7</f>
        <v>91927.502008561583</v>
      </c>
      <c r="H61" s="186">
        <f>'Emisje - sektor mieszkalny'!J65</f>
        <v>80513.557006139628</v>
      </c>
      <c r="I61" s="199">
        <f t="shared" si="21"/>
        <v>87.583753770053576</v>
      </c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</row>
    <row r="62" spans="1:22" ht="30.75" thickBot="1">
      <c r="A62" s="186" t="s">
        <v>549</v>
      </c>
      <c r="B62" s="187">
        <f>'Emisje - sektor mieszkalny'!F61</f>
        <v>11439.480332446808</v>
      </c>
      <c r="C62" s="159"/>
      <c r="D62" s="179"/>
      <c r="E62" s="179"/>
      <c r="F62" s="162" t="s">
        <v>544</v>
      </c>
      <c r="G62" s="189">
        <f>$B$8</f>
        <v>11444.852693749999</v>
      </c>
      <c r="H62" s="189">
        <f>'Emisje - ob. uż. publ.'!N123</f>
        <v>11451.663839511635</v>
      </c>
      <c r="I62" s="199">
        <f t="shared" si="21"/>
        <v>100.05951274292377</v>
      </c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</row>
    <row r="63" spans="1:22" ht="15.75" thickBot="1">
      <c r="A63" s="186" t="s">
        <v>538</v>
      </c>
      <c r="B63" s="187">
        <f>H52</f>
        <v>216773.72210809114</v>
      </c>
      <c r="C63" s="159"/>
      <c r="D63" s="179"/>
      <c r="E63" s="179"/>
      <c r="F63" s="196"/>
      <c r="G63" s="200">
        <f>G62+G61+G60+G59+G58+G57</f>
        <v>520564.59691330534</v>
      </c>
      <c r="H63" s="201">
        <f>H62+H61+H60+H59+H58+H57</f>
        <v>529234.15622150421</v>
      </c>
      <c r="I63" s="15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</row>
    <row r="64" spans="1:22">
      <c r="A64" s="186" t="s">
        <v>410</v>
      </c>
      <c r="B64" s="187">
        <f>H53/3.6</f>
        <v>340849.58252773294</v>
      </c>
      <c r="C64" s="159"/>
      <c r="D64" s="179"/>
      <c r="E64" s="179"/>
      <c r="F64" s="159"/>
      <c r="G64" s="159"/>
      <c r="H64" s="159"/>
      <c r="I64" s="15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</row>
    <row r="65" spans="1:22" ht="60">
      <c r="A65" s="179"/>
      <c r="B65" s="179"/>
      <c r="C65" s="159"/>
      <c r="D65" s="179"/>
      <c r="E65" s="179"/>
      <c r="F65" s="186" t="s">
        <v>553</v>
      </c>
      <c r="G65" s="162" t="s">
        <v>593</v>
      </c>
      <c r="H65" s="162" t="s">
        <v>452</v>
      </c>
      <c r="I65" s="198" t="s">
        <v>591</v>
      </c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</row>
    <row r="66" spans="1:22">
      <c r="A66" s="179"/>
      <c r="B66" s="179"/>
      <c r="C66" s="159"/>
      <c r="D66" s="179"/>
      <c r="E66" s="179"/>
      <c r="F66" s="186" t="s">
        <v>550</v>
      </c>
      <c r="G66" s="187">
        <f>$E$3</f>
        <v>101158.83224748039</v>
      </c>
      <c r="H66" s="187">
        <f>'Emisje - sektor mieszkalny'!J58+'Emisje - ob. uż. publ.'!N119+'Emisje - usługi i prod.'!H43</f>
        <v>102922.52784080192</v>
      </c>
      <c r="I66" s="199">
        <f>H66/G66*100</f>
        <v>101.74349145214205</v>
      </c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</row>
    <row r="67" spans="1:22">
      <c r="A67" s="179"/>
      <c r="B67" s="179"/>
      <c r="C67" s="159"/>
      <c r="D67" s="179"/>
      <c r="E67" s="179"/>
      <c r="F67" s="186" t="s">
        <v>442</v>
      </c>
      <c r="G67" s="187">
        <f>$E$4</f>
        <v>41877.561883718467</v>
      </c>
      <c r="H67" s="187">
        <f>'Emisje - sektor mieszkalny'!J60+'Emisje - ob. uż. publ.'!N120+'Emisje - usługi i prod.'!H45</f>
        <v>28403.136412702774</v>
      </c>
      <c r="I67" s="199">
        <v>67.824236023027879</v>
      </c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</row>
    <row r="68" spans="1:22" ht="15" customHeight="1">
      <c r="A68" s="159"/>
      <c r="B68" s="159"/>
      <c r="C68" s="159"/>
      <c r="D68" s="179"/>
      <c r="E68" s="179"/>
      <c r="F68" s="186" t="s">
        <v>537</v>
      </c>
      <c r="G68" s="187">
        <f>$E$5</f>
        <v>3964.0185143321514</v>
      </c>
      <c r="H68" s="187">
        <f>'Emisje - sektor mieszkalny'!J62</f>
        <v>4114.1557155624814</v>
      </c>
      <c r="I68" s="199">
        <v>103.78749999999999</v>
      </c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</row>
    <row r="69" spans="1:22" ht="30">
      <c r="A69" s="159"/>
      <c r="B69" s="159"/>
      <c r="C69" s="159"/>
      <c r="D69" s="179"/>
      <c r="E69" s="179"/>
      <c r="F69" s="186" t="s">
        <v>545</v>
      </c>
      <c r="G69" s="187">
        <f>$E$6</f>
        <v>231905.47175873152</v>
      </c>
      <c r="H69" s="187">
        <f>H57+MZK!B12</f>
        <v>258260.30684049553</v>
      </c>
      <c r="I69" s="199">
        <v>111.26567365246996</v>
      </c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</row>
    <row r="70" spans="1:22" ht="15" customHeight="1">
      <c r="A70" s="179"/>
      <c r="B70" s="179"/>
      <c r="C70" s="179"/>
      <c r="D70" s="179"/>
      <c r="E70" s="179"/>
      <c r="F70" s="186" t="s">
        <v>132</v>
      </c>
      <c r="G70" s="187">
        <f>$E$7</f>
        <v>4046.1033165230497</v>
      </c>
      <c r="H70" s="187">
        <f>'Emisje - sektor mieszkalny'!J59+'Emisje - ob. uż. publ.'!N121+'Emisje - usługi i prod.'!H44+MZK!D5</f>
        <v>2852.0556187129446</v>
      </c>
      <c r="I70" s="199">
        <v>70.488946910130068</v>
      </c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</row>
    <row r="71" spans="1:22">
      <c r="A71" s="179"/>
      <c r="B71" s="179"/>
      <c r="C71" s="179"/>
      <c r="D71" s="179"/>
      <c r="E71" s="179"/>
      <c r="F71" s="186" t="s">
        <v>548</v>
      </c>
      <c r="G71" s="187">
        <f>$E$8</f>
        <v>0</v>
      </c>
      <c r="H71" s="162">
        <v>0</v>
      </c>
      <c r="I71" s="19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</row>
    <row r="72" spans="1:22">
      <c r="A72" s="179"/>
      <c r="B72" s="179"/>
      <c r="C72" s="179"/>
      <c r="D72" s="179"/>
      <c r="E72" s="179"/>
      <c r="F72" s="186" t="s">
        <v>130</v>
      </c>
      <c r="G72" s="187">
        <f>$E$9</f>
        <v>103095.8333761</v>
      </c>
      <c r="H72" s="187">
        <f>'Emisje - sektor mieszkalny'!J57+'Emisje - ob. uż. publ.'!N118+'Emisje - usługi i prod.'!H42+MZK!D4+Oświetlenie!D12</f>
        <v>96681.461660208646</v>
      </c>
      <c r="I72" s="199">
        <v>93.778243498462913</v>
      </c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</row>
    <row r="73" spans="1:22" ht="15.75" thickBot="1">
      <c r="A73" s="179"/>
      <c r="B73" s="179"/>
      <c r="C73" s="179"/>
      <c r="D73" s="179"/>
      <c r="E73" s="179"/>
      <c r="F73" s="186" t="s">
        <v>473</v>
      </c>
      <c r="G73" s="187">
        <f>$E$10</f>
        <v>34516.77581641978</v>
      </c>
      <c r="H73" s="191">
        <f>'Emisje - sektor mieszkalny'!J63+'Emisje - sektor mieszkalny'!J64+'Emisje - ob. uż. publ.'!N122+'Emisje - usługi i prod.'!H46</f>
        <v>36000.51213301994</v>
      </c>
      <c r="I73" s="199">
        <v>103.15720101482455</v>
      </c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</row>
    <row r="74" spans="1:22" ht="15.75" thickBot="1">
      <c r="A74" s="179"/>
      <c r="B74" s="179"/>
      <c r="C74" s="179"/>
      <c r="D74" s="179"/>
      <c r="E74" s="179"/>
      <c r="F74" s="175"/>
      <c r="G74" s="200">
        <f>G73+G72+G71+G70+G69+G68+G67+G66</f>
        <v>520564.59691330534</v>
      </c>
      <c r="H74" s="201">
        <f>H73+H72+H71+H70+H69+H68+H67+H66</f>
        <v>529234.15622150432</v>
      </c>
      <c r="I74" s="15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</row>
    <row r="75" spans="1:22">
      <c r="A75" s="179"/>
      <c r="B75" s="179"/>
      <c r="C75" s="179"/>
      <c r="D75" s="179"/>
      <c r="E75" s="159"/>
      <c r="F75" s="159"/>
      <c r="G75" s="159"/>
      <c r="H75" s="159"/>
      <c r="I75" s="159"/>
      <c r="J75" s="179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</row>
    <row r="76" spans="1:22">
      <c r="A76" s="179"/>
      <c r="B76" s="179"/>
      <c r="C76" s="179"/>
      <c r="D76" s="179"/>
      <c r="E76" s="159"/>
      <c r="F76" s="159"/>
      <c r="G76" s="159"/>
      <c r="H76" s="159"/>
      <c r="I76" s="15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</row>
    <row r="77" spans="1:22">
      <c r="A77" s="365" t="s">
        <v>590</v>
      </c>
      <c r="B77" s="366"/>
      <c r="C77" s="366"/>
      <c r="D77" s="366"/>
      <c r="E77" s="366"/>
      <c r="F77" s="366"/>
      <c r="G77" s="366"/>
      <c r="H77" s="366"/>
      <c r="I77" s="367"/>
      <c r="J77" s="179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</row>
    <row r="78" spans="1:22">
      <c r="A78" s="368"/>
      <c r="B78" s="369"/>
      <c r="C78" s="369"/>
      <c r="D78" s="369"/>
      <c r="E78" s="369"/>
      <c r="F78" s="369"/>
      <c r="G78" s="369"/>
      <c r="H78" s="369"/>
      <c r="I78" s="370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</row>
    <row r="79" spans="1:22" ht="20.25">
      <c r="A79" s="197"/>
      <c r="B79" s="197"/>
      <c r="C79" s="197"/>
      <c r="D79" s="197"/>
      <c r="E79" s="197"/>
      <c r="F79" s="197"/>
      <c r="G79" s="197"/>
      <c r="H79" s="197"/>
      <c r="I79" s="197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</row>
    <row r="80" spans="1:22" ht="60">
      <c r="A80" s="162" t="s">
        <v>540</v>
      </c>
      <c r="B80" s="162" t="s">
        <v>693</v>
      </c>
      <c r="C80" s="162" t="s">
        <v>694</v>
      </c>
      <c r="D80" s="198" t="s">
        <v>591</v>
      </c>
      <c r="E80" s="159"/>
      <c r="F80" s="162" t="s">
        <v>540</v>
      </c>
      <c r="G80" s="162" t="s">
        <v>692</v>
      </c>
      <c r="H80" s="162" t="s">
        <v>694</v>
      </c>
      <c r="I80" s="198" t="s">
        <v>591</v>
      </c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</row>
    <row r="81" spans="1:22">
      <c r="A81" s="162" t="s">
        <v>536</v>
      </c>
      <c r="B81" s="184">
        <f>$H$3</f>
        <v>907146.20292177773</v>
      </c>
      <c r="C81" s="184">
        <f>'Emisje - transport'!C28+'Emisje - transport'!C29+'Emisje - transport'!C30+'Emisje - transport'!V5</f>
        <v>953486.14063733327</v>
      </c>
      <c r="D81" s="199">
        <f>C81/B81*100</f>
        <v>105.10832074987491</v>
      </c>
      <c r="E81" s="159"/>
      <c r="F81" s="186" t="s">
        <v>462</v>
      </c>
      <c r="G81" s="187">
        <f>$K$3</f>
        <v>505794.16123740195</v>
      </c>
      <c r="H81" s="187">
        <f>'Emisje - sektor mieszkalny'!H71+'Emisje - ob. uż. publ.'!T119+'Emisje - usługi i prod.'!F52</f>
        <v>485570.37198347325</v>
      </c>
      <c r="I81" s="199">
        <f>H81/G81*100</f>
        <v>96.001577162446452</v>
      </c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</row>
    <row r="82" spans="1:22" ht="30">
      <c r="A82" s="162" t="s">
        <v>539</v>
      </c>
      <c r="B82" s="186">
        <f>$H$4</f>
        <v>3070.72</v>
      </c>
      <c r="C82" s="186">
        <f>Oświetlenie!C16</f>
        <v>2149.5039999999999</v>
      </c>
      <c r="D82" s="199">
        <f t="shared" ref="D82:D86" si="22">C82/B82*100</f>
        <v>70</v>
      </c>
      <c r="E82" s="159"/>
      <c r="F82" s="186" t="s">
        <v>514</v>
      </c>
      <c r="G82" s="187">
        <f>$K$4</f>
        <v>131690.4461752153</v>
      </c>
      <c r="H82" s="187">
        <f>'Emisje - sektor mieszkalny'!H73+'Emisje - ob. uż. publ.'!T120+'Emisje - usługi i prod.'!F54</f>
        <v>69519.1703547426</v>
      </c>
      <c r="I82" s="199">
        <f t="shared" ref="I82:I88" si="23">H82/G82*100</f>
        <v>52.789835841429777</v>
      </c>
      <c r="J82" s="179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</row>
    <row r="83" spans="1:22">
      <c r="A83" s="162" t="s">
        <v>541</v>
      </c>
      <c r="B83" s="186">
        <f>$H$5</f>
        <v>6455.4590749999998</v>
      </c>
      <c r="C83" s="186">
        <f>MZK!D11+MZK!C4+MZK!C5</f>
        <v>4817.0032235972221</v>
      </c>
      <c r="D83" s="199">
        <f t="shared" si="22"/>
        <v>74.619065315617732</v>
      </c>
      <c r="E83" s="159"/>
      <c r="F83" s="186" t="s">
        <v>537</v>
      </c>
      <c r="G83" s="187">
        <f>$K$5</f>
        <v>12664.595892434989</v>
      </c>
      <c r="H83" s="187">
        <f>'Emisje - sektor mieszkalny'!H75</f>
        <v>12309.987207446809</v>
      </c>
      <c r="I83" s="199">
        <f t="shared" si="23"/>
        <v>97.2</v>
      </c>
      <c r="J83" s="179"/>
      <c r="K83" s="179"/>
      <c r="L83" s="179"/>
      <c r="M83" s="179"/>
      <c r="N83" s="179"/>
      <c r="O83" s="179"/>
      <c r="P83" s="179"/>
      <c r="Q83" s="179"/>
      <c r="R83" s="179"/>
      <c r="S83" s="179"/>
      <c r="T83" s="179"/>
      <c r="U83" s="179"/>
      <c r="V83" s="179"/>
    </row>
    <row r="84" spans="1:22" ht="30">
      <c r="A84" s="162" t="s">
        <v>542</v>
      </c>
      <c r="B84" s="186">
        <f>$H$6</f>
        <v>742858.4518724177</v>
      </c>
      <c r="C84" s="186">
        <f>'Emisje - usługi i prod.'!F56</f>
        <v>684863.16371925524</v>
      </c>
      <c r="D84" s="199">
        <f t="shared" si="22"/>
        <v>92.192955736455318</v>
      </c>
      <c r="E84" s="159"/>
      <c r="F84" s="186" t="s">
        <v>546</v>
      </c>
      <c r="G84" s="187">
        <f>$K$6</f>
        <v>912791.41586344445</v>
      </c>
      <c r="H84" s="187">
        <f>'Emisje - transport'!C28+'Emisje - transport'!C29+'Emisje - transport'!C30+'Emisje - transport'!V5+MZK!D11</f>
        <v>957492.89772759716</v>
      </c>
      <c r="I84" s="199">
        <f t="shared" si="23"/>
        <v>104.89722855487942</v>
      </c>
      <c r="J84" s="179"/>
      <c r="K84" s="179"/>
      <c r="L84" s="179"/>
      <c r="M84" s="179"/>
      <c r="N84" s="179"/>
      <c r="O84" s="179"/>
      <c r="P84" s="179"/>
      <c r="Q84" s="179"/>
      <c r="R84" s="179"/>
      <c r="S84" s="179"/>
      <c r="T84" s="179"/>
      <c r="U84" s="179"/>
      <c r="V84" s="179"/>
    </row>
    <row r="85" spans="1:22">
      <c r="A85" s="162" t="s">
        <v>543</v>
      </c>
      <c r="B85" s="186">
        <f>$H$7</f>
        <v>1343140.2368238652</v>
      </c>
      <c r="C85" s="186">
        <f>'Emisje - sektor mieszkalny'!H78</f>
        <v>1242716.0495663073</v>
      </c>
      <c r="D85" s="199">
        <f t="shared" si="22"/>
        <v>92.52317929994922</v>
      </c>
      <c r="E85" s="159"/>
      <c r="F85" s="186" t="s">
        <v>132</v>
      </c>
      <c r="G85" s="187">
        <f>$K$7</f>
        <v>14985.567838974255</v>
      </c>
      <c r="H85" s="187">
        <f>'Emisje - sektor mieszkalny'!H72+'Emisje - ob. uż. publ.'!T121+'Emisje - usługi i prod.'!F53+MZK!C5</f>
        <v>8411.7925721345291</v>
      </c>
      <c r="I85" s="199">
        <f t="shared" si="23"/>
        <v>56.132624819576449</v>
      </c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</row>
    <row r="86" spans="1:22" ht="30.75" thickBot="1">
      <c r="A86" s="162" t="s">
        <v>544</v>
      </c>
      <c r="B86" s="189">
        <f>$H$8</f>
        <v>41553.616513111105</v>
      </c>
      <c r="C86" s="189">
        <f>'Emisje - ob. uż. publ.'!T123</f>
        <v>39651.12056756649</v>
      </c>
      <c r="D86" s="199">
        <f t="shared" si="22"/>
        <v>95.421587565201847</v>
      </c>
      <c r="E86" s="159"/>
      <c r="F86" s="186" t="s">
        <v>466</v>
      </c>
      <c r="G86" s="187">
        <f>$K$8</f>
        <v>54926.406028368801</v>
      </c>
      <c r="H86" s="187">
        <f>'Emisje - sektor mieszkalny'!H74</f>
        <v>44490.388882978725</v>
      </c>
      <c r="I86" s="199">
        <f t="shared" si="23"/>
        <v>81</v>
      </c>
      <c r="J86" s="179"/>
      <c r="K86" s="179"/>
      <c r="L86" s="179"/>
      <c r="M86" s="179"/>
      <c r="N86" s="179"/>
      <c r="O86" s="179"/>
      <c r="P86" s="179"/>
      <c r="Q86" s="179"/>
      <c r="R86" s="179"/>
      <c r="S86" s="179"/>
      <c r="T86" s="179"/>
      <c r="U86" s="179"/>
      <c r="V86" s="179"/>
    </row>
    <row r="87" spans="1:22" ht="15.75" thickBot="1">
      <c r="A87" s="159"/>
      <c r="B87" s="200">
        <f>B86+B85+B84+B83+B82+B81</f>
        <v>3044224.6872061724</v>
      </c>
      <c r="C87" s="201">
        <f>C86+C85+C84+C83+C82+C81</f>
        <v>2927682.9817140596</v>
      </c>
      <c r="D87" s="159"/>
      <c r="E87" s="159"/>
      <c r="F87" s="186" t="s">
        <v>130</v>
      </c>
      <c r="G87" s="187">
        <f>$K$9</f>
        <v>231128.19034999999</v>
      </c>
      <c r="H87" s="187">
        <f>'Emisje - sektor mieszkalny'!H70+'Emisje - ob. uż. publ.'!T118+'Emisje - usługi i prod.'!F51+MZK!C4+Oświetlenie!C16</f>
        <v>200113.45022373719</v>
      </c>
      <c r="I87" s="199">
        <f t="shared" si="23"/>
        <v>86.581152182562917</v>
      </c>
      <c r="J87" s="179"/>
      <c r="K87" s="179"/>
      <c r="L87" s="179"/>
      <c r="M87" s="179"/>
      <c r="N87" s="179"/>
      <c r="O87" s="179"/>
      <c r="P87" s="179"/>
      <c r="Q87" s="179"/>
      <c r="R87" s="179"/>
      <c r="S87" s="179"/>
      <c r="T87" s="179"/>
      <c r="U87" s="179"/>
      <c r="V87" s="179"/>
    </row>
    <row r="88" spans="1:22" ht="15" customHeight="1" thickBot="1">
      <c r="A88" s="159"/>
      <c r="B88" s="159"/>
      <c r="C88" s="159"/>
      <c r="D88" s="185"/>
      <c r="E88" s="159"/>
      <c r="F88" s="186" t="s">
        <v>333</v>
      </c>
      <c r="G88" s="191">
        <f>$K$10</f>
        <v>1180243.9038203321</v>
      </c>
      <c r="H88" s="191">
        <f>'Emisje - sektor mieszkalny'!H76+'Emisje - sektor mieszkalny'!H77+'Emisje - ob. uż. publ.'!T122+'Emisje - usługi i prod.'!F55</f>
        <v>1149774.922761949</v>
      </c>
      <c r="I88" s="199">
        <f t="shared" si="23"/>
        <v>97.418416569680375</v>
      </c>
      <c r="J88" s="179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</row>
    <row r="89" spans="1:22" ht="15" customHeight="1" thickBot="1">
      <c r="A89" s="159"/>
      <c r="B89" s="159"/>
      <c r="C89" s="159"/>
      <c r="D89" s="159"/>
      <c r="E89" s="159"/>
      <c r="F89" s="175"/>
      <c r="G89" s="200">
        <f>G88+G87+G86+G85+G84+G83+G82+G81</f>
        <v>3044224.6872061719</v>
      </c>
      <c r="H89" s="201">
        <f>H88+H87+H86+H85+H84+H83+H82+H81</f>
        <v>2927682.9817140591</v>
      </c>
      <c r="I89" s="159"/>
      <c r="J89" s="179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179"/>
      <c r="V89" s="179"/>
    </row>
    <row r="90" spans="1:22">
      <c r="A90" s="159"/>
      <c r="B90" s="159"/>
      <c r="C90" s="159"/>
      <c r="D90" s="159"/>
      <c r="E90" s="159"/>
      <c r="F90" s="159"/>
      <c r="G90" s="159"/>
      <c r="H90" s="159"/>
      <c r="I90" s="196"/>
      <c r="J90" s="179"/>
      <c r="K90" s="179"/>
      <c r="L90" s="179"/>
      <c r="M90" s="179"/>
      <c r="N90" s="179"/>
      <c r="O90" s="179"/>
      <c r="P90" s="179"/>
      <c r="Q90" s="179"/>
      <c r="R90" s="179"/>
      <c r="S90" s="179"/>
      <c r="T90" s="179"/>
      <c r="U90" s="179"/>
      <c r="V90" s="179"/>
    </row>
    <row r="91" spans="1:22">
      <c r="A91" s="159"/>
      <c r="B91" s="159"/>
      <c r="C91" s="159"/>
      <c r="D91" s="159"/>
      <c r="E91" s="159"/>
      <c r="F91" s="159"/>
      <c r="G91" s="159"/>
      <c r="H91" s="159"/>
      <c r="I91" s="196"/>
      <c r="J91" s="179"/>
      <c r="K91" s="179"/>
      <c r="L91" s="179"/>
      <c r="M91" s="179"/>
      <c r="N91" s="179"/>
      <c r="O91" s="179"/>
      <c r="P91" s="179"/>
      <c r="Q91" s="179"/>
      <c r="R91" s="179"/>
      <c r="S91" s="179"/>
      <c r="T91" s="179"/>
      <c r="U91" s="179"/>
      <c r="V91" s="179"/>
    </row>
    <row r="92" spans="1:22">
      <c r="A92" s="196"/>
      <c r="B92" s="196"/>
      <c r="C92" s="159"/>
      <c r="D92" s="185"/>
      <c r="E92" s="159"/>
      <c r="F92" s="159"/>
      <c r="G92" s="159"/>
      <c r="H92" s="159"/>
      <c r="I92" s="196"/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</row>
    <row r="93" spans="1:22" ht="60">
      <c r="A93" s="186" t="s">
        <v>553</v>
      </c>
      <c r="B93" s="162" t="s">
        <v>526</v>
      </c>
      <c r="C93" s="159"/>
      <c r="D93" s="159"/>
      <c r="E93" s="159"/>
      <c r="F93" s="162" t="s">
        <v>540</v>
      </c>
      <c r="G93" s="162" t="s">
        <v>585</v>
      </c>
      <c r="H93" s="162" t="s">
        <v>592</v>
      </c>
      <c r="I93" s="198" t="s">
        <v>591</v>
      </c>
      <c r="J93" s="179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79"/>
    </row>
    <row r="94" spans="1:22" ht="30">
      <c r="A94" s="186" t="s">
        <v>551</v>
      </c>
      <c r="B94" s="187">
        <f>'Emisje - sektor mieszkalny'!F71+'Emisje - ob. uż. publ.'!R119+'Emisje - usługi i prod.'!C52</f>
        <v>48638100.699513189</v>
      </c>
      <c r="C94" s="185"/>
      <c r="D94" s="159"/>
      <c r="E94" s="159"/>
      <c r="F94" s="162" t="s">
        <v>536</v>
      </c>
      <c r="G94" s="184">
        <f>$B$3</f>
        <v>230415.13554213152</v>
      </c>
      <c r="H94" s="184">
        <f>'Emisje - transport'!D28+'Emisje - transport'!D29+'Emisje - transport'!D30+'Emisje - transport'!W5</f>
        <v>242185.47972188267</v>
      </c>
      <c r="I94" s="199">
        <f>H94/G94*100</f>
        <v>105.10832074987493</v>
      </c>
      <c r="J94" s="179"/>
      <c r="K94" s="179"/>
      <c r="L94" s="179"/>
      <c r="M94" s="179"/>
      <c r="N94" s="179"/>
      <c r="O94" s="179"/>
      <c r="P94" s="179"/>
      <c r="Q94" s="179"/>
      <c r="R94" s="179"/>
      <c r="S94" s="179"/>
      <c r="T94" s="179"/>
      <c r="U94" s="179"/>
      <c r="V94" s="179"/>
    </row>
    <row r="95" spans="1:22" ht="30">
      <c r="A95" s="186" t="s">
        <v>520</v>
      </c>
      <c r="B95" s="187">
        <f>'Emisje - sektor mieszkalny'!F73+'Emisje - ob. uż. publ.'!R120+'Emisje - usługi i prod.'!C54</f>
        <v>11059.1698310682</v>
      </c>
      <c r="C95" s="159"/>
      <c r="D95" s="159"/>
      <c r="E95" s="159"/>
      <c r="F95" s="162" t="s">
        <v>539</v>
      </c>
      <c r="G95" s="186">
        <f>$B$4</f>
        <v>1381.82</v>
      </c>
      <c r="H95" s="186">
        <f>Oświetlenie!D16</f>
        <v>958.67878399999995</v>
      </c>
      <c r="I95" s="199">
        <f t="shared" ref="I95:I99" si="24">H95/G95*100</f>
        <v>69.377978607922884</v>
      </c>
      <c r="J95" s="179"/>
      <c r="K95" s="179"/>
      <c r="L95" s="179"/>
      <c r="M95" s="179"/>
      <c r="N95" s="179"/>
      <c r="O95" s="179"/>
      <c r="P95" s="179"/>
      <c r="Q95" s="179"/>
      <c r="R95" s="179"/>
      <c r="S95" s="179"/>
      <c r="T95" s="179"/>
      <c r="U95" s="179"/>
      <c r="V95" s="179"/>
    </row>
    <row r="96" spans="1:22" ht="30">
      <c r="A96" s="186" t="s">
        <v>228</v>
      </c>
      <c r="B96" s="187">
        <f>'Emisje - sektor mieszkalny'!F75</f>
        <v>1672.3001489361702</v>
      </c>
      <c r="C96" s="159"/>
      <c r="D96" s="159"/>
      <c r="E96" s="159"/>
      <c r="F96" s="162" t="s">
        <v>541</v>
      </c>
      <c r="G96" s="186">
        <f>$B$5</f>
        <v>1726.2746726000003</v>
      </c>
      <c r="H96" s="186">
        <f>MZK!D4+MZK!D5+MZK!D12</f>
        <v>1293.7223278296667</v>
      </c>
      <c r="I96" s="199">
        <f t="shared" si="24"/>
        <v>74.943017375163606</v>
      </c>
      <c r="J96" s="179"/>
      <c r="K96" s="179"/>
      <c r="L96" s="179"/>
      <c r="M96" s="179"/>
      <c r="N96" s="179"/>
      <c r="O96" s="179"/>
      <c r="P96" s="179"/>
      <c r="Q96" s="179"/>
      <c r="R96" s="179"/>
      <c r="S96" s="179"/>
      <c r="T96" s="179"/>
      <c r="U96" s="179"/>
      <c r="V96" s="179"/>
    </row>
    <row r="97" spans="1:22" ht="30">
      <c r="A97" s="186" t="s">
        <v>547</v>
      </c>
      <c r="B97" s="187">
        <f>'Emisje - transport'!P32+'Emisje - transport'!P29+'Emisje - transport'!P26+'Emisje - transport'!U5</f>
        <v>76619422.015499994</v>
      </c>
      <c r="C97" s="159"/>
      <c r="D97" s="159"/>
      <c r="E97" s="159"/>
      <c r="F97" s="162" t="s">
        <v>542</v>
      </c>
      <c r="G97" s="186">
        <f>$B$6</f>
        <v>183669.01199626227</v>
      </c>
      <c r="H97" s="186">
        <f>'Emisje - usługi i prod.'!H56</f>
        <v>163826.14600169347</v>
      </c>
      <c r="I97" s="199">
        <f t="shared" si="24"/>
        <v>89.196399665408663</v>
      </c>
      <c r="J97" s="179"/>
      <c r="K97" s="179"/>
      <c r="L97" s="179"/>
      <c r="M97" s="179"/>
      <c r="N97" s="179"/>
      <c r="O97" s="179"/>
      <c r="P97" s="179"/>
      <c r="Q97" s="179"/>
      <c r="R97" s="179"/>
      <c r="S97" s="179"/>
      <c r="T97" s="179"/>
      <c r="U97" s="179"/>
      <c r="V97" s="179"/>
    </row>
    <row r="98" spans="1:22">
      <c r="A98" s="186" t="s">
        <v>409</v>
      </c>
      <c r="B98" s="187">
        <f>'Emisje - sektor mieszkalny'!F72+'Emisje - ob. uż. publ.'!R121+'Emisje - usługi i prod.'!C53+MZK!B5</f>
        <v>753482.29061170202</v>
      </c>
      <c r="C98" s="159"/>
      <c r="D98" s="159"/>
      <c r="E98" s="159"/>
      <c r="F98" s="162" t="s">
        <v>543</v>
      </c>
      <c r="G98" s="186">
        <f>$B$7</f>
        <v>91927.502008561583</v>
      </c>
      <c r="H98" s="186">
        <f>'Emisje - sektor mieszkalny'!J78</f>
        <v>72579.890876611797</v>
      </c>
      <c r="I98" s="199">
        <f t="shared" si="24"/>
        <v>78.953402725826422</v>
      </c>
      <c r="J98" s="179"/>
      <c r="K98" s="179"/>
      <c r="L98" s="179"/>
      <c r="M98" s="179"/>
      <c r="N98" s="179"/>
      <c r="O98" s="179"/>
      <c r="P98" s="179"/>
      <c r="Q98" s="179"/>
      <c r="R98" s="179"/>
      <c r="S98" s="179"/>
      <c r="T98" s="179"/>
      <c r="U98" s="179"/>
      <c r="V98" s="179"/>
    </row>
    <row r="99" spans="1:22" ht="30.75" thickBot="1">
      <c r="A99" s="186" t="s">
        <v>549</v>
      </c>
      <c r="B99" s="187">
        <f>'Emisje - sektor mieszkalny'!F74</f>
        <v>10267.012819148937</v>
      </c>
      <c r="C99" s="159"/>
      <c r="D99" s="159"/>
      <c r="E99" s="159"/>
      <c r="F99" s="162" t="s">
        <v>544</v>
      </c>
      <c r="G99" s="189">
        <f>$B$8</f>
        <v>11444.852693749999</v>
      </c>
      <c r="H99" s="189">
        <f>'Emisje - ob. uż. publ.'!U123</f>
        <v>10813.085406697986</v>
      </c>
      <c r="I99" s="199">
        <f t="shared" si="24"/>
        <v>94.479900231507401</v>
      </c>
      <c r="J99" s="179"/>
      <c r="K99" s="179"/>
      <c r="L99" s="179"/>
      <c r="M99" s="179"/>
      <c r="N99" s="179"/>
      <c r="O99" s="179"/>
      <c r="P99" s="179"/>
      <c r="Q99" s="179"/>
      <c r="R99" s="179"/>
      <c r="S99" s="179"/>
      <c r="T99" s="179"/>
      <c r="U99" s="179"/>
      <c r="V99" s="179"/>
    </row>
    <row r="100" spans="1:22" ht="15.75" thickBot="1">
      <c r="A100" s="186" t="s">
        <v>538</v>
      </c>
      <c r="B100" s="187">
        <f>H87</f>
        <v>200113.45022373719</v>
      </c>
      <c r="C100" s="159"/>
      <c r="D100" s="159"/>
      <c r="E100" s="159"/>
      <c r="F100" s="196"/>
      <c r="G100" s="200">
        <f>G99+G98+G97+G96+G95+G94</f>
        <v>520564.59691330534</v>
      </c>
      <c r="H100" s="201">
        <f>H99+H98+H97+H96+H95+H94</f>
        <v>491657.0031187156</v>
      </c>
      <c r="I100" s="159"/>
      <c r="J100" s="179"/>
      <c r="K100" s="179"/>
      <c r="L100" s="179"/>
      <c r="M100" s="179"/>
      <c r="N100" s="179"/>
      <c r="O100" s="179"/>
      <c r="P100" s="179"/>
      <c r="Q100" s="179"/>
      <c r="R100" s="179"/>
      <c r="S100" s="179"/>
      <c r="T100" s="179"/>
      <c r="U100" s="179"/>
      <c r="V100" s="179"/>
    </row>
    <row r="101" spans="1:22">
      <c r="A101" s="186" t="s">
        <v>410</v>
      </c>
      <c r="B101" s="187">
        <f>H88/3.6</f>
        <v>319381.92298943026</v>
      </c>
      <c r="C101" s="159"/>
      <c r="D101" s="159"/>
      <c r="E101" s="159"/>
      <c r="F101" s="159"/>
      <c r="G101" s="159"/>
      <c r="H101" s="159"/>
      <c r="I101" s="159"/>
      <c r="J101" s="179"/>
      <c r="K101" s="179"/>
      <c r="L101" s="179"/>
      <c r="M101" s="179"/>
      <c r="N101" s="179"/>
      <c r="O101" s="179"/>
      <c r="P101" s="179"/>
      <c r="Q101" s="179"/>
      <c r="R101" s="179"/>
      <c r="S101" s="179"/>
      <c r="T101" s="179"/>
      <c r="U101" s="179"/>
      <c r="V101" s="179"/>
    </row>
    <row r="102" spans="1:22" ht="60">
      <c r="A102" s="159"/>
      <c r="B102" s="159"/>
      <c r="C102" s="159"/>
      <c r="D102" s="159"/>
      <c r="E102" s="159"/>
      <c r="F102" s="186" t="s">
        <v>553</v>
      </c>
      <c r="G102" s="162" t="s">
        <v>593</v>
      </c>
      <c r="H102" s="162" t="s">
        <v>452</v>
      </c>
      <c r="I102" s="198" t="s">
        <v>591</v>
      </c>
      <c r="J102" s="179"/>
      <c r="K102" s="179"/>
      <c r="L102" s="179"/>
      <c r="M102" s="179"/>
      <c r="N102" s="179"/>
      <c r="O102" s="179"/>
      <c r="P102" s="179"/>
      <c r="Q102" s="179"/>
      <c r="R102" s="179"/>
      <c r="S102" s="179"/>
      <c r="T102" s="179"/>
      <c r="U102" s="179"/>
      <c r="V102" s="179"/>
    </row>
    <row r="103" spans="1:22">
      <c r="A103" s="159"/>
      <c r="B103" s="159"/>
      <c r="C103" s="159"/>
      <c r="D103" s="159"/>
      <c r="E103" s="159"/>
      <c r="F103" s="186" t="s">
        <v>550</v>
      </c>
      <c r="G103" s="187">
        <f>$E$3</f>
        <v>101158.83224748039</v>
      </c>
      <c r="H103" s="187">
        <f>'Emisje - sektor mieszkalny'!J71+'Emisje - ob. uż. publ.'!U119+'Emisje - usługi i prod.'!H52</f>
        <v>97114.074396694661</v>
      </c>
      <c r="I103" s="199">
        <f>H103/G103*100</f>
        <v>96.001577162446466</v>
      </c>
      <c r="J103" s="179"/>
      <c r="K103" s="179"/>
      <c r="L103" s="179"/>
      <c r="M103" s="179"/>
      <c r="N103" s="179"/>
      <c r="O103" s="179"/>
      <c r="P103" s="179"/>
      <c r="Q103" s="179"/>
      <c r="R103" s="179"/>
      <c r="S103" s="179"/>
      <c r="T103" s="179"/>
      <c r="U103" s="179"/>
      <c r="V103" s="179"/>
    </row>
    <row r="104" spans="1:22">
      <c r="A104" s="179"/>
      <c r="B104" s="179"/>
      <c r="C104" s="179"/>
      <c r="D104" s="179"/>
      <c r="E104" s="159"/>
      <c r="F104" s="186" t="s">
        <v>442</v>
      </c>
      <c r="G104" s="187">
        <f>$E$4</f>
        <v>41877.561883718467</v>
      </c>
      <c r="H104" s="187">
        <f>'Emisje - sektor mieszkalny'!J73+'Emisje - ob. uż. publ.'!U120+'Emisje - usługi i prod.'!H54</f>
        <v>22107.096172808146</v>
      </c>
      <c r="I104" s="199">
        <f t="shared" ref="I104:I110" si="25">H104/G104*100</f>
        <v>52.789835841429777</v>
      </c>
      <c r="J104" s="179"/>
      <c r="K104" s="179"/>
      <c r="L104" s="179"/>
      <c r="M104" s="179"/>
      <c r="N104" s="179"/>
      <c r="O104" s="179"/>
      <c r="P104" s="179"/>
      <c r="Q104" s="179"/>
      <c r="R104" s="179"/>
      <c r="S104" s="179"/>
      <c r="T104" s="179"/>
      <c r="U104" s="179"/>
      <c r="V104" s="179"/>
    </row>
    <row r="105" spans="1:22">
      <c r="A105" s="179"/>
      <c r="B105" s="179"/>
      <c r="C105" s="179"/>
      <c r="D105" s="179"/>
      <c r="E105" s="159"/>
      <c r="F105" s="186" t="s">
        <v>537</v>
      </c>
      <c r="G105" s="187">
        <f>$E$5</f>
        <v>3964.0185143321514</v>
      </c>
      <c r="H105" s="187">
        <f>'Emisje - sektor mieszkalny'!J75</f>
        <v>3853.0259959308514</v>
      </c>
      <c r="I105" s="199">
        <f t="shared" si="25"/>
        <v>97.2</v>
      </c>
      <c r="J105" s="179"/>
      <c r="K105" s="179"/>
      <c r="L105" s="179"/>
      <c r="M105" s="179"/>
      <c r="N105" s="179"/>
      <c r="O105" s="179"/>
      <c r="P105" s="179"/>
      <c r="Q105" s="179"/>
      <c r="R105" s="179"/>
      <c r="S105" s="179"/>
      <c r="T105" s="179"/>
      <c r="U105" s="179"/>
      <c r="V105" s="179"/>
    </row>
    <row r="106" spans="1:22" ht="30">
      <c r="A106" s="179"/>
      <c r="B106" s="179"/>
      <c r="C106" s="179"/>
      <c r="D106" s="179"/>
      <c r="E106" s="159"/>
      <c r="F106" s="186" t="s">
        <v>545</v>
      </c>
      <c r="G106" s="187">
        <f>$E$6</f>
        <v>231905.47175873152</v>
      </c>
      <c r="H106" s="187">
        <f>H94+MZK!D12</f>
        <v>243243.26359371233</v>
      </c>
      <c r="I106" s="199">
        <f t="shared" si="25"/>
        <v>104.88897124720555</v>
      </c>
      <c r="J106" s="179"/>
      <c r="K106" s="179"/>
      <c r="L106" s="179"/>
      <c r="M106" s="179"/>
      <c r="N106" s="179"/>
      <c r="O106" s="179"/>
      <c r="P106" s="179"/>
      <c r="Q106" s="179"/>
      <c r="R106" s="179"/>
      <c r="S106" s="179"/>
      <c r="T106" s="179"/>
      <c r="U106" s="179"/>
      <c r="V106" s="179"/>
    </row>
    <row r="107" spans="1:22">
      <c r="A107" s="179"/>
      <c r="B107" s="179"/>
      <c r="C107" s="179"/>
      <c r="D107" s="179"/>
      <c r="E107" s="159"/>
      <c r="F107" s="186" t="s">
        <v>132</v>
      </c>
      <c r="G107" s="187">
        <f>$E$7</f>
        <v>4046.1033165230497</v>
      </c>
      <c r="H107" s="187">
        <v>2271.1839944763228</v>
      </c>
      <c r="I107" s="199">
        <f t="shared" si="25"/>
        <v>56.132624819576435</v>
      </c>
      <c r="J107" s="179"/>
      <c r="K107" s="179"/>
      <c r="L107" s="179"/>
      <c r="M107" s="179"/>
      <c r="N107" s="179"/>
      <c r="O107" s="179"/>
      <c r="P107" s="179"/>
      <c r="Q107" s="179"/>
      <c r="R107" s="179"/>
      <c r="S107" s="179"/>
      <c r="T107" s="179"/>
      <c r="U107" s="179"/>
      <c r="V107" s="179"/>
    </row>
    <row r="108" spans="1:22">
      <c r="A108" s="179"/>
      <c r="B108" s="179"/>
      <c r="C108" s="179"/>
      <c r="D108" s="179"/>
      <c r="E108" s="159"/>
      <c r="F108" s="186" t="s">
        <v>548</v>
      </c>
      <c r="G108" s="187">
        <f>$E$8</f>
        <v>0</v>
      </c>
      <c r="H108" s="162">
        <v>0</v>
      </c>
      <c r="I108" s="199" t="s">
        <v>101</v>
      </c>
      <c r="J108" s="179"/>
      <c r="K108" s="179"/>
      <c r="L108" s="179"/>
      <c r="M108" s="179"/>
      <c r="N108" s="179"/>
      <c r="O108" s="179"/>
      <c r="P108" s="179"/>
      <c r="Q108" s="179"/>
      <c r="R108" s="179"/>
      <c r="S108" s="179"/>
      <c r="T108" s="179"/>
      <c r="U108" s="179"/>
      <c r="V108" s="179"/>
    </row>
    <row r="109" spans="1:22">
      <c r="A109" s="179"/>
      <c r="B109" s="179"/>
      <c r="C109" s="179"/>
      <c r="D109" s="179"/>
      <c r="E109" s="159"/>
      <c r="F109" s="186" t="s">
        <v>130</v>
      </c>
      <c r="G109" s="187">
        <f>$E$9</f>
        <v>103095.8333761</v>
      </c>
      <c r="H109" s="187">
        <f>'Emisje - sektor mieszkalny'!J70+'Emisje - ob. uż. publ.'!U118+'Emisje - usługi i prod.'!H51+MZK!D4+Oświetlenie!D16</f>
        <v>89250.9803997868</v>
      </c>
      <c r="I109" s="199">
        <f t="shared" si="25"/>
        <v>86.570889896387655</v>
      </c>
      <c r="J109" s="179"/>
      <c r="K109" s="179"/>
      <c r="L109" s="179"/>
      <c r="M109" s="179"/>
      <c r="N109" s="179"/>
      <c r="O109" s="179"/>
      <c r="P109" s="179"/>
      <c r="Q109" s="179"/>
      <c r="R109" s="179"/>
      <c r="S109" s="179"/>
      <c r="T109" s="179"/>
      <c r="U109" s="179"/>
      <c r="V109" s="179"/>
    </row>
    <row r="110" spans="1:22" ht="15.75" thickBot="1">
      <c r="A110" s="179"/>
      <c r="B110" s="179"/>
      <c r="C110" s="179"/>
      <c r="D110" s="179"/>
      <c r="E110" s="159"/>
      <c r="F110" s="186" t="s">
        <v>473</v>
      </c>
      <c r="G110" s="187">
        <f>$E$10</f>
        <v>34516.77581641978</v>
      </c>
      <c r="H110" s="191">
        <f>'Emisje - sektor mieszkalny'!J76+'Emisje - sektor mieszkalny'!J77+'Emisje - ob. uż. publ.'!U122+'Emisje - usługi i prod.'!H55</f>
        <v>33817.378565306448</v>
      </c>
      <c r="I110" s="199">
        <f t="shared" si="25"/>
        <v>97.97374686780384</v>
      </c>
      <c r="J110" s="179"/>
      <c r="K110" s="179"/>
      <c r="L110" s="179"/>
      <c r="M110" s="179"/>
      <c r="N110" s="179"/>
      <c r="O110" s="179"/>
      <c r="P110" s="179"/>
      <c r="Q110" s="179"/>
      <c r="R110" s="179"/>
      <c r="S110" s="179"/>
      <c r="T110" s="179"/>
      <c r="U110" s="179"/>
      <c r="V110" s="179"/>
    </row>
    <row r="111" spans="1:22" ht="15.75" thickBot="1">
      <c r="A111" s="179"/>
      <c r="B111" s="179"/>
      <c r="C111" s="179"/>
      <c r="D111" s="179"/>
      <c r="E111" s="159"/>
      <c r="F111" s="175"/>
      <c r="G111" s="200">
        <f>G110+G109+G108+G107+G106+G105+G104+G103</f>
        <v>520564.59691330534</v>
      </c>
      <c r="H111" s="201">
        <f>H110+H109+H108+H107+H106+H105+H104+H103</f>
        <v>491657.00311871554</v>
      </c>
      <c r="I111" s="159"/>
      <c r="J111" s="179"/>
      <c r="K111" s="179"/>
      <c r="L111" s="179"/>
      <c r="M111" s="179"/>
      <c r="N111" s="179"/>
      <c r="O111" s="179"/>
      <c r="P111" s="179"/>
      <c r="Q111" s="179"/>
      <c r="R111" s="179"/>
      <c r="S111" s="179"/>
      <c r="T111" s="179"/>
      <c r="U111" s="179"/>
      <c r="V111" s="179"/>
    </row>
  </sheetData>
  <mergeCells count="8">
    <mergeCell ref="A1:K1"/>
    <mergeCell ref="A13:I13"/>
    <mergeCell ref="R26:V27"/>
    <mergeCell ref="A77:I78"/>
    <mergeCell ref="L26:P27"/>
    <mergeCell ref="A43:I43"/>
    <mergeCell ref="L13:P13"/>
    <mergeCell ref="R13:V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9</vt:i4>
      </vt:variant>
    </vt:vector>
  </HeadingPairs>
  <TitlesOfParts>
    <vt:vector size="9" baseType="lpstr">
      <vt:lpstr>Założenia</vt:lpstr>
      <vt:lpstr>Ankiety - budynki jednorodzinne</vt:lpstr>
      <vt:lpstr>Emisje - sektor mieszkalny</vt:lpstr>
      <vt:lpstr>Emisje - ob. uż. publ.</vt:lpstr>
      <vt:lpstr>Emisje - transport</vt:lpstr>
      <vt:lpstr>Emisje - usługi i prod.</vt:lpstr>
      <vt:lpstr>MZK</vt:lpstr>
      <vt:lpstr>Oświetlenie</vt:lpstr>
      <vt:lpstr>Emisje </vt:lpstr>
    </vt:vector>
  </TitlesOfParts>
  <Company>POLGEOL S.A.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Nowy</dc:creator>
  <cp:lastModifiedBy>Nowy</cp:lastModifiedBy>
  <dcterms:created xsi:type="dcterms:W3CDTF">2015-09-03T07:40:14Z</dcterms:created>
  <dcterms:modified xsi:type="dcterms:W3CDTF">2016-02-11T10:15:15Z</dcterms:modified>
</cp:coreProperties>
</file>